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3820" tabRatio="884" activeTab="3"/>
  </bookViews>
  <sheets>
    <sheet name="Variables" sheetId="1" r:id="rId1"/>
    <sheet name="Parametros" sheetId="2" r:id="rId2"/>
    <sheet name="Flujo de caja" sheetId="18" r:id="rId3"/>
    <sheet name="Balance general" sheetId="11" r:id="rId4"/>
    <sheet name="Formulacion" sheetId="20" r:id="rId5"/>
    <sheet name="Plan de Ventas" sheetId="3" r:id="rId6"/>
    <sheet name="Plan de producción" sheetId="4" r:id="rId7"/>
    <sheet name="Necesidades de insumos" sheetId="7" r:id="rId8"/>
    <sheet name="Plan de Compras" sheetId="9" r:id="rId9"/>
    <sheet name="Compras Valorizadas" sheetId="6" r:id="rId10"/>
    <sheet name="MOD" sheetId="26" r:id="rId11"/>
    <sheet name="Insumos Valorizados" sheetId="21" r:id="rId12"/>
    <sheet name="Consumo Valorizado" sheetId="24" r:id="rId13"/>
    <sheet name="Personal y Servicios" sheetId="5" r:id="rId14"/>
    <sheet name="Costo unitario de produccion" sheetId="13" r:id="rId15"/>
    <sheet name="Activos fijos" sheetId="12" r:id="rId16"/>
    <sheet name="Costos Indirectos" sheetId="25" r:id="rId17"/>
    <sheet name="Costo de ventas" sheetId="14" r:id="rId18"/>
    <sheet name="Cuentas x Cobrar" sheetId="22" r:id="rId19"/>
    <sheet name="Cuentas x Pagar" sheetId="23" r:id="rId20"/>
    <sheet name="Gastos" sheetId="27" r:id="rId21"/>
    <sheet name="IGV e IR" sheetId="10" r:id="rId22"/>
    <sheet name="EGP" sheetId="17" r:id="rId23"/>
    <sheet name="Valorizacion" sheetId="19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7" l="1"/>
  <c r="C37" i="17"/>
  <c r="K5" i="17"/>
  <c r="K6" i="17"/>
  <c r="K7" i="17"/>
  <c r="K8" i="17"/>
  <c r="K9" i="17"/>
  <c r="K10" i="17"/>
  <c r="C5" i="17"/>
  <c r="C6" i="17"/>
  <c r="C7" i="17"/>
  <c r="C8" i="17"/>
  <c r="C9" i="17"/>
  <c r="C10" i="17"/>
  <c r="C11" i="17"/>
  <c r="C12" i="17"/>
  <c r="C14" i="17"/>
  <c r="C15" i="17"/>
  <c r="C16" i="17"/>
  <c r="C17" i="17"/>
  <c r="C18" i="17"/>
  <c r="C27" i="10"/>
  <c r="C48" i="10"/>
  <c r="C28" i="10"/>
  <c r="C29" i="10"/>
  <c r="C30" i="10"/>
  <c r="C39" i="10"/>
  <c r="C31" i="10"/>
  <c r="C32" i="10"/>
  <c r="C30" i="18"/>
  <c r="C34" i="18"/>
  <c r="C46" i="18"/>
  <c r="C53" i="18"/>
  <c r="C54" i="18"/>
  <c r="C55" i="18"/>
  <c r="C56" i="18"/>
  <c r="C102" i="18"/>
  <c r="C103" i="18"/>
  <c r="D99" i="18"/>
  <c r="D101" i="18"/>
  <c r="C14" i="18"/>
  <c r="C57" i="18"/>
  <c r="C58" i="18"/>
  <c r="C59" i="18"/>
  <c r="C108" i="18"/>
  <c r="C15" i="18"/>
  <c r="C60" i="18"/>
  <c r="C61" i="18"/>
  <c r="C62" i="18"/>
  <c r="C118" i="18"/>
  <c r="C16" i="18"/>
  <c r="C63" i="18"/>
  <c r="C65" i="18"/>
  <c r="C17" i="18"/>
  <c r="C18" i="18"/>
  <c r="C20" i="18"/>
  <c r="C70" i="18"/>
  <c r="C71" i="18"/>
  <c r="C73" i="18"/>
  <c r="C72" i="18"/>
  <c r="C74" i="18"/>
  <c r="C37" i="18"/>
  <c r="C75" i="18"/>
  <c r="C77" i="18"/>
  <c r="C76" i="18"/>
  <c r="C78" i="18"/>
  <c r="C113" i="18"/>
  <c r="C38" i="18"/>
  <c r="C80" i="18"/>
  <c r="C81" i="18"/>
  <c r="C82" i="18"/>
  <c r="C117" i="18"/>
  <c r="C39" i="18"/>
  <c r="C40" i="18"/>
  <c r="C42" i="18"/>
  <c r="C48" i="18"/>
  <c r="D5" i="18"/>
  <c r="D100" i="18"/>
  <c r="D28" i="18"/>
  <c r="D5" i="17"/>
  <c r="D6" i="17"/>
  <c r="D7" i="17"/>
  <c r="D8" i="17"/>
  <c r="D9" i="17"/>
  <c r="D10" i="17"/>
  <c r="C109" i="18"/>
  <c r="D105" i="18"/>
  <c r="D106" i="18"/>
  <c r="D11" i="17"/>
  <c r="D12" i="17"/>
  <c r="D14" i="17"/>
  <c r="D15" i="17"/>
  <c r="D16" i="17"/>
  <c r="D17" i="17"/>
  <c r="D18" i="17"/>
  <c r="D27" i="10"/>
  <c r="D48" i="10"/>
  <c r="D28" i="10"/>
  <c r="D29" i="10"/>
  <c r="D30" i="10"/>
  <c r="C40" i="10"/>
  <c r="D38" i="10"/>
  <c r="D39" i="10"/>
  <c r="D31" i="10"/>
  <c r="D32" i="10"/>
  <c r="D30" i="18"/>
  <c r="D34" i="18"/>
  <c r="D46" i="18"/>
  <c r="D53" i="18"/>
  <c r="D54" i="18"/>
  <c r="D55" i="18"/>
  <c r="D56" i="18"/>
  <c r="D102" i="18"/>
  <c r="D103" i="18"/>
  <c r="E99" i="18"/>
  <c r="E101" i="18"/>
  <c r="D14" i="18"/>
  <c r="D57" i="18"/>
  <c r="D58" i="18"/>
  <c r="D59" i="18"/>
  <c r="D108" i="18"/>
  <c r="D15" i="18"/>
  <c r="D60" i="18"/>
  <c r="D61" i="18"/>
  <c r="C119" i="18"/>
  <c r="D116" i="18"/>
  <c r="D62" i="18"/>
  <c r="D118" i="18"/>
  <c r="D16" i="18"/>
  <c r="D63" i="18"/>
  <c r="D65" i="18"/>
  <c r="D17" i="18"/>
  <c r="D18" i="18"/>
  <c r="D20" i="18"/>
  <c r="D70" i="18"/>
  <c r="D71" i="18"/>
  <c r="D73" i="18"/>
  <c r="D37" i="18"/>
  <c r="D72" i="18"/>
  <c r="D74" i="18"/>
  <c r="D75" i="18"/>
  <c r="C19" i="17"/>
  <c r="C20" i="17"/>
  <c r="C32" i="17"/>
  <c r="C33" i="17"/>
  <c r="C21" i="17"/>
  <c r="C22" i="17"/>
  <c r="C23" i="17"/>
  <c r="C112" i="18"/>
  <c r="C114" i="18"/>
  <c r="D111" i="18"/>
  <c r="D77" i="18"/>
  <c r="D78" i="18"/>
  <c r="D113" i="18"/>
  <c r="D38" i="18"/>
  <c r="D76" i="18"/>
  <c r="D80" i="18"/>
  <c r="D81" i="18"/>
  <c r="D82" i="18"/>
  <c r="D117" i="18"/>
  <c r="D39" i="18"/>
  <c r="D40" i="18"/>
  <c r="D42" i="18"/>
  <c r="D48" i="18"/>
  <c r="E5" i="18"/>
  <c r="E100" i="18"/>
  <c r="E28" i="18"/>
  <c r="E5" i="17"/>
  <c r="E6" i="17"/>
  <c r="E7" i="17"/>
  <c r="E8" i="17"/>
  <c r="E9" i="17"/>
  <c r="E10" i="17"/>
  <c r="D109" i="18"/>
  <c r="E105" i="18"/>
  <c r="E106" i="18"/>
  <c r="E11" i="17"/>
  <c r="E12" i="17"/>
  <c r="E14" i="17"/>
  <c r="E15" i="17"/>
  <c r="E16" i="17"/>
  <c r="E17" i="17"/>
  <c r="E18" i="17"/>
  <c r="E27" i="10"/>
  <c r="E48" i="10"/>
  <c r="E28" i="10"/>
  <c r="E29" i="10"/>
  <c r="E30" i="10"/>
  <c r="D40" i="10"/>
  <c r="E38" i="10"/>
  <c r="E39" i="10"/>
  <c r="E31" i="10"/>
  <c r="E32" i="10"/>
  <c r="E30" i="18"/>
  <c r="E34" i="18"/>
  <c r="E46" i="18"/>
  <c r="E53" i="18"/>
  <c r="E54" i="18"/>
  <c r="E55" i="18"/>
  <c r="E56" i="18"/>
  <c r="E102" i="18"/>
  <c r="E103" i="18"/>
  <c r="F99" i="18"/>
  <c r="F101" i="18"/>
  <c r="E14" i="18"/>
  <c r="E57" i="18"/>
  <c r="E58" i="18"/>
  <c r="E59" i="18"/>
  <c r="E108" i="18"/>
  <c r="E15" i="18"/>
  <c r="E60" i="18"/>
  <c r="E61" i="18"/>
  <c r="D119" i="18"/>
  <c r="E116" i="18"/>
  <c r="E62" i="18"/>
  <c r="E118" i="18"/>
  <c r="E16" i="18"/>
  <c r="E63" i="18"/>
  <c r="E65" i="18"/>
  <c r="E17" i="18"/>
  <c r="E18" i="18"/>
  <c r="E20" i="18"/>
  <c r="E70" i="18"/>
  <c r="E71" i="18"/>
  <c r="E73" i="18"/>
  <c r="E37" i="18"/>
  <c r="E72" i="18"/>
  <c r="E74" i="18"/>
  <c r="E75" i="18"/>
  <c r="D19" i="17"/>
  <c r="D20" i="17"/>
  <c r="C25" i="17"/>
  <c r="C34" i="17"/>
  <c r="D31" i="17"/>
  <c r="C38" i="17"/>
  <c r="D48" i="11"/>
  <c r="D32" i="17"/>
  <c r="D33" i="17"/>
  <c r="D21" i="17"/>
  <c r="D22" i="17"/>
  <c r="D23" i="17"/>
  <c r="D112" i="18"/>
  <c r="D114" i="18"/>
  <c r="E111" i="18"/>
  <c r="E77" i="18"/>
  <c r="E78" i="18"/>
  <c r="E113" i="18"/>
  <c r="E38" i="18"/>
  <c r="E76" i="18"/>
  <c r="E80" i="18"/>
  <c r="E81" i="18"/>
  <c r="E82" i="18"/>
  <c r="E117" i="18"/>
  <c r="E39" i="18"/>
  <c r="E40" i="18"/>
  <c r="E42" i="18"/>
  <c r="E48" i="18"/>
  <c r="F5" i="18"/>
  <c r="F100" i="18"/>
  <c r="F28" i="18"/>
  <c r="F5" i="17"/>
  <c r="F6" i="17"/>
  <c r="F7" i="17"/>
  <c r="F8" i="17"/>
  <c r="F9" i="17"/>
  <c r="F10" i="17"/>
  <c r="E109" i="18"/>
  <c r="F105" i="18"/>
  <c r="F106" i="18"/>
  <c r="F11" i="17"/>
  <c r="F12" i="17"/>
  <c r="F14" i="17"/>
  <c r="F15" i="17"/>
  <c r="F16" i="17"/>
  <c r="F17" i="17"/>
  <c r="F18" i="17"/>
  <c r="F27" i="10"/>
  <c r="F48" i="10"/>
  <c r="F28" i="10"/>
  <c r="F29" i="10"/>
  <c r="F30" i="10"/>
  <c r="E40" i="10"/>
  <c r="F38" i="10"/>
  <c r="F39" i="10"/>
  <c r="F31" i="10"/>
  <c r="F32" i="10"/>
  <c r="F30" i="18"/>
  <c r="F34" i="18"/>
  <c r="F46" i="18"/>
  <c r="F53" i="18"/>
  <c r="F54" i="18"/>
  <c r="F55" i="18"/>
  <c r="F56" i="18"/>
  <c r="F102" i="18"/>
  <c r="F103" i="18"/>
  <c r="G99" i="18"/>
  <c r="G101" i="18"/>
  <c r="F14" i="18"/>
  <c r="F57" i="18"/>
  <c r="F58" i="18"/>
  <c r="F59" i="18"/>
  <c r="F108" i="18"/>
  <c r="F15" i="18"/>
  <c r="F60" i="18"/>
  <c r="F61" i="18"/>
  <c r="E119" i="18"/>
  <c r="F116" i="18"/>
  <c r="F62" i="18"/>
  <c r="F118" i="18"/>
  <c r="F16" i="18"/>
  <c r="F63" i="18"/>
  <c r="F65" i="18"/>
  <c r="F17" i="18"/>
  <c r="F18" i="18"/>
  <c r="F20" i="18"/>
  <c r="F70" i="18"/>
  <c r="F71" i="18"/>
  <c r="F73" i="18"/>
  <c r="F37" i="18"/>
  <c r="F72" i="18"/>
  <c r="F74" i="18"/>
  <c r="F75" i="18"/>
  <c r="E19" i="17"/>
  <c r="E20" i="17"/>
  <c r="D24" i="17"/>
  <c r="D25" i="17"/>
  <c r="D34" i="17"/>
  <c r="E31" i="17"/>
  <c r="D37" i="17"/>
  <c r="D38" i="17"/>
  <c r="E48" i="11"/>
  <c r="E32" i="17"/>
  <c r="E33" i="17"/>
  <c r="E21" i="17"/>
  <c r="E22" i="17"/>
  <c r="E23" i="17"/>
  <c r="E112" i="18"/>
  <c r="E114" i="18"/>
  <c r="F111" i="18"/>
  <c r="F77" i="18"/>
  <c r="F78" i="18"/>
  <c r="F113" i="18"/>
  <c r="F38" i="18"/>
  <c r="F76" i="18"/>
  <c r="F80" i="18"/>
  <c r="F81" i="18"/>
  <c r="F82" i="18"/>
  <c r="F117" i="18"/>
  <c r="F39" i="18"/>
  <c r="F40" i="18"/>
  <c r="F42" i="18"/>
  <c r="F48" i="18"/>
  <c r="G5" i="18"/>
  <c r="G100" i="18"/>
  <c r="G28" i="18"/>
  <c r="G5" i="17"/>
  <c r="G6" i="17"/>
  <c r="G7" i="17"/>
  <c r="G8" i="17"/>
  <c r="G9" i="17"/>
  <c r="G10" i="17"/>
  <c r="F109" i="18"/>
  <c r="G105" i="18"/>
  <c r="G106" i="18"/>
  <c r="G11" i="17"/>
  <c r="G12" i="17"/>
  <c r="G14" i="17"/>
  <c r="G15" i="17"/>
  <c r="G16" i="17"/>
  <c r="G17" i="17"/>
  <c r="G18" i="17"/>
  <c r="G27" i="10"/>
  <c r="G48" i="10"/>
  <c r="G28" i="10"/>
  <c r="G29" i="10"/>
  <c r="G30" i="10"/>
  <c r="F40" i="10"/>
  <c r="G38" i="10"/>
  <c r="G39" i="10"/>
  <c r="G31" i="10"/>
  <c r="G32" i="10"/>
  <c r="G30" i="18"/>
  <c r="G34" i="18"/>
  <c r="G46" i="18"/>
  <c r="G53" i="18"/>
  <c r="G54" i="18"/>
  <c r="G55" i="18"/>
  <c r="G56" i="18"/>
  <c r="G102" i="18"/>
  <c r="G103" i="18"/>
  <c r="H99" i="18"/>
  <c r="H101" i="18"/>
  <c r="G14" i="18"/>
  <c r="G57" i="18"/>
  <c r="G58" i="18"/>
  <c r="G59" i="18"/>
  <c r="G108" i="18"/>
  <c r="G15" i="18"/>
  <c r="G60" i="18"/>
  <c r="G61" i="18"/>
  <c r="F119" i="18"/>
  <c r="G116" i="18"/>
  <c r="G62" i="18"/>
  <c r="G118" i="18"/>
  <c r="G16" i="18"/>
  <c r="G63" i="18"/>
  <c r="G65" i="18"/>
  <c r="G17" i="18"/>
  <c r="G18" i="18"/>
  <c r="G20" i="18"/>
  <c r="G70" i="18"/>
  <c r="G71" i="18"/>
  <c r="G73" i="18"/>
  <c r="G37" i="18"/>
  <c r="G72" i="18"/>
  <c r="G74" i="18"/>
  <c r="G75" i="18"/>
  <c r="F19" i="17"/>
  <c r="F20" i="17"/>
  <c r="E24" i="17"/>
  <c r="E25" i="17"/>
  <c r="E34" i="17"/>
  <c r="F31" i="17"/>
  <c r="E37" i="17"/>
  <c r="E38" i="17"/>
  <c r="F48" i="11"/>
  <c r="F32" i="17"/>
  <c r="F33" i="17"/>
  <c r="F21" i="17"/>
  <c r="F22" i="17"/>
  <c r="F23" i="17"/>
  <c r="F112" i="18"/>
  <c r="F114" i="18"/>
  <c r="G111" i="18"/>
  <c r="G77" i="18"/>
  <c r="G78" i="18"/>
  <c r="G113" i="18"/>
  <c r="G38" i="18"/>
  <c r="G76" i="18"/>
  <c r="G80" i="18"/>
  <c r="G81" i="18"/>
  <c r="G82" i="18"/>
  <c r="G117" i="18"/>
  <c r="G39" i="18"/>
  <c r="G40" i="18"/>
  <c r="G42" i="18"/>
  <c r="G48" i="18"/>
  <c r="H5" i="18"/>
  <c r="H100" i="18"/>
  <c r="H28" i="18"/>
  <c r="H5" i="17"/>
  <c r="H6" i="17"/>
  <c r="H7" i="17"/>
  <c r="H8" i="17"/>
  <c r="H9" i="17"/>
  <c r="H10" i="17"/>
  <c r="G109" i="18"/>
  <c r="H105" i="18"/>
  <c r="H106" i="18"/>
  <c r="H11" i="17"/>
  <c r="H12" i="17"/>
  <c r="H14" i="17"/>
  <c r="H15" i="17"/>
  <c r="H16" i="17"/>
  <c r="H17" i="17"/>
  <c r="H18" i="17"/>
  <c r="H27" i="10"/>
  <c r="H48" i="10"/>
  <c r="H28" i="10"/>
  <c r="H29" i="10"/>
  <c r="H30" i="10"/>
  <c r="G40" i="10"/>
  <c r="H38" i="10"/>
  <c r="H39" i="10"/>
  <c r="H31" i="10"/>
  <c r="H32" i="10"/>
  <c r="H30" i="18"/>
  <c r="H34" i="18"/>
  <c r="H46" i="18"/>
  <c r="H53" i="18"/>
  <c r="H54" i="18"/>
  <c r="H55" i="18"/>
  <c r="H56" i="18"/>
  <c r="H102" i="18"/>
  <c r="H103" i="18"/>
  <c r="I99" i="18"/>
  <c r="I101" i="18"/>
  <c r="H14" i="18"/>
  <c r="H57" i="18"/>
  <c r="H58" i="18"/>
  <c r="H59" i="18"/>
  <c r="H108" i="18"/>
  <c r="H15" i="18"/>
  <c r="H60" i="18"/>
  <c r="H61" i="18"/>
  <c r="G119" i="18"/>
  <c r="H116" i="18"/>
  <c r="H62" i="18"/>
  <c r="H118" i="18"/>
  <c r="H16" i="18"/>
  <c r="H63" i="18"/>
  <c r="H65" i="18"/>
  <c r="H17" i="18"/>
  <c r="H18" i="18"/>
  <c r="H20" i="18"/>
  <c r="H70" i="18"/>
  <c r="H71" i="18"/>
  <c r="H73" i="18"/>
  <c r="H37" i="18"/>
  <c r="H72" i="18"/>
  <c r="H74" i="18"/>
  <c r="H75" i="18"/>
  <c r="G19" i="17"/>
  <c r="G20" i="17"/>
  <c r="F24" i="17"/>
  <c r="F25" i="17"/>
  <c r="F34" i="17"/>
  <c r="G31" i="17"/>
  <c r="F37" i="17"/>
  <c r="F38" i="17"/>
  <c r="G48" i="11"/>
  <c r="G32" i="17"/>
  <c r="G33" i="17"/>
  <c r="G21" i="17"/>
  <c r="G22" i="17"/>
  <c r="G23" i="17"/>
  <c r="G112" i="18"/>
  <c r="G114" i="18"/>
  <c r="H111" i="18"/>
  <c r="H77" i="18"/>
  <c r="H78" i="18"/>
  <c r="H113" i="18"/>
  <c r="H38" i="18"/>
  <c r="H76" i="18"/>
  <c r="H80" i="18"/>
  <c r="H81" i="18"/>
  <c r="H82" i="18"/>
  <c r="H117" i="18"/>
  <c r="H39" i="18"/>
  <c r="H40" i="18"/>
  <c r="H42" i="18"/>
  <c r="H48" i="18"/>
  <c r="I5" i="18"/>
  <c r="I100" i="18"/>
  <c r="I28" i="18"/>
  <c r="I5" i="17"/>
  <c r="I6" i="17"/>
  <c r="I7" i="17"/>
  <c r="I8" i="17"/>
  <c r="I9" i="17"/>
  <c r="I10" i="17"/>
  <c r="H109" i="18"/>
  <c r="I105" i="18"/>
  <c r="I106" i="18"/>
  <c r="I11" i="17"/>
  <c r="I12" i="17"/>
  <c r="I14" i="17"/>
  <c r="I15" i="17"/>
  <c r="I16" i="17"/>
  <c r="I17" i="17"/>
  <c r="I18" i="17"/>
  <c r="I27" i="10"/>
  <c r="I48" i="10"/>
  <c r="I28" i="10"/>
  <c r="I29" i="10"/>
  <c r="I30" i="10"/>
  <c r="H40" i="10"/>
  <c r="I38" i="10"/>
  <c r="I39" i="10"/>
  <c r="I31" i="10"/>
  <c r="I32" i="10"/>
  <c r="I30" i="18"/>
  <c r="I34" i="18"/>
  <c r="I46" i="18"/>
  <c r="I53" i="18"/>
  <c r="I54" i="18"/>
  <c r="I55" i="18"/>
  <c r="I56" i="18"/>
  <c r="I102" i="18"/>
  <c r="I103" i="18"/>
  <c r="J99" i="18"/>
  <c r="J101" i="18"/>
  <c r="I14" i="18"/>
  <c r="I57" i="18"/>
  <c r="I58" i="18"/>
  <c r="I59" i="18"/>
  <c r="I108" i="18"/>
  <c r="I15" i="18"/>
  <c r="I60" i="18"/>
  <c r="I61" i="18"/>
  <c r="H119" i="18"/>
  <c r="I116" i="18"/>
  <c r="I62" i="18"/>
  <c r="I118" i="18"/>
  <c r="I16" i="18"/>
  <c r="I63" i="18"/>
  <c r="I65" i="18"/>
  <c r="I17" i="18"/>
  <c r="I18" i="18"/>
  <c r="I20" i="18"/>
  <c r="I70" i="18"/>
  <c r="I71" i="18"/>
  <c r="I73" i="18"/>
  <c r="I37" i="18"/>
  <c r="I72" i="18"/>
  <c r="I74" i="18"/>
  <c r="I75" i="18"/>
  <c r="H19" i="17"/>
  <c r="H20" i="17"/>
  <c r="G24" i="17"/>
  <c r="G25" i="17"/>
  <c r="G34" i="17"/>
  <c r="H31" i="17"/>
  <c r="G37" i="17"/>
  <c r="G38" i="17"/>
  <c r="H48" i="11"/>
  <c r="H32" i="17"/>
  <c r="H33" i="17"/>
  <c r="H21" i="17"/>
  <c r="H22" i="17"/>
  <c r="H23" i="17"/>
  <c r="H112" i="18"/>
  <c r="H114" i="18"/>
  <c r="I111" i="18"/>
  <c r="I77" i="18"/>
  <c r="I78" i="18"/>
  <c r="I113" i="18"/>
  <c r="I38" i="18"/>
  <c r="I76" i="18"/>
  <c r="I80" i="18"/>
  <c r="I81" i="18"/>
  <c r="I82" i="18"/>
  <c r="I117" i="18"/>
  <c r="I39" i="18"/>
  <c r="I40" i="18"/>
  <c r="I42" i="18"/>
  <c r="I48" i="18"/>
  <c r="J5" i="18"/>
  <c r="J100" i="18"/>
  <c r="J28" i="18"/>
  <c r="J5" i="17"/>
  <c r="J6" i="17"/>
  <c r="J7" i="17"/>
  <c r="J8" i="17"/>
  <c r="J9" i="17"/>
  <c r="J10" i="17"/>
  <c r="I109" i="18"/>
  <c r="J105" i="18"/>
  <c r="J106" i="18"/>
  <c r="J11" i="17"/>
  <c r="J12" i="17"/>
  <c r="J14" i="17"/>
  <c r="J15" i="17"/>
  <c r="J16" i="17"/>
  <c r="J17" i="17"/>
  <c r="J18" i="17"/>
  <c r="J27" i="10"/>
  <c r="J48" i="10"/>
  <c r="J28" i="10"/>
  <c r="J29" i="10"/>
  <c r="J30" i="10"/>
  <c r="I40" i="10"/>
  <c r="J38" i="10"/>
  <c r="J39" i="10"/>
  <c r="J31" i="10"/>
  <c r="J32" i="10"/>
  <c r="J30" i="18"/>
  <c r="J34" i="18"/>
  <c r="J46" i="18"/>
  <c r="J53" i="18"/>
  <c r="J54" i="18"/>
  <c r="J55" i="18"/>
  <c r="J56" i="18"/>
  <c r="J102" i="18"/>
  <c r="J103" i="18"/>
  <c r="K99" i="18"/>
  <c r="K100" i="18"/>
  <c r="J57" i="18"/>
  <c r="J58" i="18"/>
  <c r="J59" i="18"/>
  <c r="J108" i="18"/>
  <c r="J109" i="18"/>
  <c r="K105" i="18"/>
  <c r="K106" i="18"/>
  <c r="K11" i="17"/>
  <c r="K12" i="17"/>
  <c r="K14" i="17"/>
  <c r="K15" i="17"/>
  <c r="K16" i="17"/>
  <c r="K17" i="17"/>
  <c r="K18" i="17"/>
  <c r="K27" i="10"/>
  <c r="K48" i="10"/>
  <c r="K28" i="10"/>
  <c r="K29" i="10"/>
  <c r="K30" i="10"/>
  <c r="K19" i="17"/>
  <c r="J19" i="17"/>
  <c r="I19" i="17"/>
  <c r="H24" i="17"/>
  <c r="H25" i="17"/>
  <c r="H34" i="17"/>
  <c r="I31" i="17"/>
  <c r="I20" i="17"/>
  <c r="H37" i="17"/>
  <c r="H38" i="17"/>
  <c r="I48" i="11"/>
  <c r="I32" i="17"/>
  <c r="I33" i="17"/>
  <c r="I21" i="17"/>
  <c r="I22" i="17"/>
  <c r="I23" i="17"/>
  <c r="I24" i="17"/>
  <c r="I25" i="17"/>
  <c r="I34" i="17"/>
  <c r="J31" i="17"/>
  <c r="J20" i="17"/>
  <c r="I37" i="17"/>
  <c r="I38" i="17"/>
  <c r="J48" i="11"/>
  <c r="J32" i="17"/>
  <c r="J33" i="17"/>
  <c r="J21" i="17"/>
  <c r="J22" i="17"/>
  <c r="J23" i="17"/>
  <c r="J24" i="17"/>
  <c r="J25" i="17"/>
  <c r="J34" i="17"/>
  <c r="K31" i="17"/>
  <c r="K20" i="17"/>
  <c r="J37" i="17"/>
  <c r="J38" i="17"/>
  <c r="K48" i="11"/>
  <c r="K32" i="17"/>
  <c r="K33" i="17"/>
  <c r="K21" i="17"/>
  <c r="K22" i="17"/>
  <c r="K24" i="17"/>
  <c r="K23" i="17"/>
  <c r="K37" i="17"/>
  <c r="K38" i="17"/>
  <c r="K25" i="17"/>
  <c r="K34" i="17"/>
  <c r="C28" i="17"/>
  <c r="D26" i="17"/>
  <c r="D27" i="17"/>
  <c r="D28" i="17"/>
  <c r="E26" i="17"/>
  <c r="E27" i="17"/>
  <c r="E28" i="17"/>
  <c r="F26" i="17"/>
  <c r="F27" i="17"/>
  <c r="F28" i="17"/>
  <c r="G26" i="17"/>
  <c r="G27" i="17"/>
  <c r="G28" i="17"/>
  <c r="H26" i="17"/>
  <c r="H27" i="17"/>
  <c r="H28" i="17"/>
  <c r="I26" i="17"/>
  <c r="I27" i="17"/>
  <c r="I28" i="17"/>
  <c r="J26" i="17"/>
  <c r="J27" i="17"/>
  <c r="J28" i="17"/>
  <c r="K26" i="17"/>
  <c r="K27" i="17"/>
  <c r="K28" i="17"/>
  <c r="C26" i="17"/>
  <c r="C27" i="17"/>
  <c r="C31" i="11"/>
  <c r="C99" i="18"/>
  <c r="C101" i="18"/>
  <c r="C8" i="11"/>
  <c r="C5" i="18"/>
  <c r="C7" i="3"/>
  <c r="C14" i="3"/>
  <c r="C21" i="3"/>
  <c r="C30" i="3"/>
  <c r="C8" i="3"/>
  <c r="C15" i="3"/>
  <c r="C22" i="3"/>
  <c r="C31" i="3"/>
  <c r="C9" i="3"/>
  <c r="C16" i="3"/>
  <c r="C23" i="3"/>
  <c r="C32" i="3"/>
  <c r="C34" i="3"/>
  <c r="C5" i="22"/>
  <c r="C6" i="22"/>
  <c r="C12" i="22"/>
  <c r="C136" i="2"/>
  <c r="C7" i="22"/>
  <c r="C8" i="22"/>
  <c r="C13" i="22"/>
  <c r="C14" i="22"/>
  <c r="C15" i="22"/>
  <c r="C9" i="18"/>
  <c r="C11" i="18"/>
  <c r="C13" i="23"/>
  <c r="C24" i="18"/>
  <c r="C25" i="3"/>
  <c r="C7" i="27"/>
  <c r="C8" i="27"/>
  <c r="C25" i="18"/>
  <c r="E94" i="2"/>
  <c r="C28" i="5"/>
  <c r="E95" i="2"/>
  <c r="C29" i="5"/>
  <c r="E96" i="2"/>
  <c r="C30" i="5"/>
  <c r="D9" i="4"/>
  <c r="D12" i="4"/>
  <c r="D7" i="4"/>
  <c r="D13" i="4"/>
  <c r="D8" i="4"/>
  <c r="D39" i="4"/>
  <c r="J24" i="20"/>
  <c r="D31" i="26"/>
  <c r="D9" i="26"/>
  <c r="D54" i="26"/>
  <c r="D77" i="26"/>
  <c r="D100" i="26"/>
  <c r="D123" i="26"/>
  <c r="D19" i="4"/>
  <c r="D22" i="4"/>
  <c r="D17" i="4"/>
  <c r="D23" i="4"/>
  <c r="D18" i="4"/>
  <c r="D40" i="4"/>
  <c r="D37" i="26"/>
  <c r="D15" i="26"/>
  <c r="D60" i="26"/>
  <c r="D83" i="26"/>
  <c r="D106" i="26"/>
  <c r="D129" i="26"/>
  <c r="D29" i="4"/>
  <c r="D32" i="4"/>
  <c r="D27" i="4"/>
  <c r="D33" i="4"/>
  <c r="D28" i="4"/>
  <c r="D41" i="4"/>
  <c r="D44" i="26"/>
  <c r="D22" i="26"/>
  <c r="D67" i="26"/>
  <c r="D90" i="26"/>
  <c r="D113" i="26"/>
  <c r="D136" i="26"/>
  <c r="C7" i="5"/>
  <c r="J25" i="20"/>
  <c r="D32" i="26"/>
  <c r="D10" i="26"/>
  <c r="D55" i="26"/>
  <c r="D78" i="26"/>
  <c r="D101" i="26"/>
  <c r="D124" i="26"/>
  <c r="D38" i="26"/>
  <c r="D16" i="26"/>
  <c r="D61" i="26"/>
  <c r="D84" i="26"/>
  <c r="D107" i="26"/>
  <c r="D130" i="26"/>
  <c r="D45" i="26"/>
  <c r="D23" i="26"/>
  <c r="D68" i="26"/>
  <c r="D91" i="26"/>
  <c r="D114" i="26"/>
  <c r="D137" i="26"/>
  <c r="C8" i="5"/>
  <c r="J26" i="20"/>
  <c r="D33" i="26"/>
  <c r="D11" i="26"/>
  <c r="D56" i="26"/>
  <c r="D79" i="26"/>
  <c r="D102" i="26"/>
  <c r="D125" i="26"/>
  <c r="D39" i="26"/>
  <c r="D17" i="26"/>
  <c r="D62" i="26"/>
  <c r="D85" i="26"/>
  <c r="D108" i="26"/>
  <c r="D131" i="26"/>
  <c r="D46" i="26"/>
  <c r="D24" i="26"/>
  <c r="D69" i="26"/>
  <c r="D92" i="26"/>
  <c r="D115" i="26"/>
  <c r="D138" i="26"/>
  <c r="C9" i="5"/>
  <c r="C10" i="5"/>
  <c r="E97" i="2"/>
  <c r="C15" i="5"/>
  <c r="E104" i="2"/>
  <c r="C16" i="5"/>
  <c r="E105" i="2"/>
  <c r="C17" i="5"/>
  <c r="E106" i="2"/>
  <c r="C18" i="5"/>
  <c r="E107" i="2"/>
  <c r="C19" i="5"/>
  <c r="C20" i="5"/>
  <c r="C22" i="5"/>
  <c r="C31" i="5"/>
  <c r="E98" i="2"/>
  <c r="C32" i="5"/>
  <c r="E99" i="2"/>
  <c r="C33" i="5"/>
  <c r="C34" i="5"/>
  <c r="C26" i="18"/>
  <c r="C41" i="5"/>
  <c r="C42" i="5"/>
  <c r="C43" i="5"/>
  <c r="C44" i="5"/>
  <c r="C27" i="18"/>
  <c r="C100" i="18"/>
  <c r="C28" i="18"/>
  <c r="J41" i="2"/>
  <c r="C131" i="12"/>
  <c r="J42" i="2"/>
  <c r="C132" i="12"/>
  <c r="J43" i="2"/>
  <c r="C133" i="12"/>
  <c r="J44" i="2"/>
  <c r="C134" i="12"/>
  <c r="J45" i="2"/>
  <c r="C135" i="12"/>
  <c r="J46" i="2"/>
  <c r="C136" i="12"/>
  <c r="J47" i="2"/>
  <c r="C137" i="12"/>
  <c r="J48" i="2"/>
  <c r="C138" i="12"/>
  <c r="J49" i="2"/>
  <c r="C139" i="12"/>
  <c r="C141" i="12"/>
  <c r="C29" i="18"/>
  <c r="C9" i="22"/>
  <c r="F13" i="2"/>
  <c r="D5" i="14"/>
  <c r="D18" i="13"/>
  <c r="D19" i="13"/>
  <c r="D20" i="13"/>
  <c r="J14" i="20"/>
  <c r="D5" i="7"/>
  <c r="F21" i="2"/>
  <c r="D5" i="21"/>
  <c r="D18" i="7"/>
  <c r="D31" i="7"/>
  <c r="D47" i="7"/>
  <c r="D7" i="9"/>
  <c r="D10" i="9"/>
  <c r="D5" i="9"/>
  <c r="D11" i="9"/>
  <c r="D6" i="9"/>
  <c r="C96" i="9"/>
  <c r="C7" i="6"/>
  <c r="D6" i="21"/>
  <c r="D10" i="21"/>
  <c r="D5" i="24"/>
  <c r="D7" i="13"/>
  <c r="J15" i="20"/>
  <c r="D6" i="7"/>
  <c r="F22" i="2"/>
  <c r="D15" i="21"/>
  <c r="D19" i="7"/>
  <c r="D32" i="7"/>
  <c r="D48" i="7"/>
  <c r="D17" i="9"/>
  <c r="D20" i="9"/>
  <c r="D15" i="9"/>
  <c r="D21" i="9"/>
  <c r="D16" i="9"/>
  <c r="C97" i="9"/>
  <c r="C8" i="6"/>
  <c r="D16" i="21"/>
  <c r="D20" i="21"/>
  <c r="D6" i="24"/>
  <c r="D8" i="13"/>
  <c r="J16" i="20"/>
  <c r="D7" i="7"/>
  <c r="F23" i="2"/>
  <c r="D25" i="21"/>
  <c r="D20" i="7"/>
  <c r="D33" i="7"/>
  <c r="D49" i="7"/>
  <c r="D27" i="9"/>
  <c r="D30" i="9"/>
  <c r="D25" i="9"/>
  <c r="D31" i="9"/>
  <c r="D26" i="9"/>
  <c r="C98" i="9"/>
  <c r="C9" i="6"/>
  <c r="D26" i="21"/>
  <c r="D30" i="21"/>
  <c r="D7" i="24"/>
  <c r="D9" i="13"/>
  <c r="J17" i="20"/>
  <c r="D8" i="7"/>
  <c r="F24" i="2"/>
  <c r="D35" i="21"/>
  <c r="D21" i="7"/>
  <c r="D34" i="7"/>
  <c r="D50" i="7"/>
  <c r="D37" i="9"/>
  <c r="D40" i="9"/>
  <c r="D35" i="9"/>
  <c r="D41" i="9"/>
  <c r="D36" i="9"/>
  <c r="C99" i="9"/>
  <c r="C10" i="6"/>
  <c r="D36" i="21"/>
  <c r="D40" i="21"/>
  <c r="D8" i="24"/>
  <c r="D10" i="13"/>
  <c r="J18" i="20"/>
  <c r="D9" i="7"/>
  <c r="F25" i="2"/>
  <c r="D45" i="21"/>
  <c r="D22" i="7"/>
  <c r="D35" i="7"/>
  <c r="D51" i="7"/>
  <c r="D47" i="9"/>
  <c r="D50" i="9"/>
  <c r="D45" i="9"/>
  <c r="D51" i="9"/>
  <c r="D46" i="9"/>
  <c r="C100" i="9"/>
  <c r="C11" i="6"/>
  <c r="D46" i="21"/>
  <c r="D50" i="21"/>
  <c r="D9" i="24"/>
  <c r="D11" i="13"/>
  <c r="D10" i="7"/>
  <c r="F26" i="2"/>
  <c r="D55" i="21"/>
  <c r="D23" i="7"/>
  <c r="D36" i="7"/>
  <c r="D52" i="7"/>
  <c r="D57" i="9"/>
  <c r="D60" i="9"/>
  <c r="D55" i="9"/>
  <c r="D61" i="9"/>
  <c r="D56" i="9"/>
  <c r="C101" i="9"/>
  <c r="C12" i="6"/>
  <c r="D56" i="21"/>
  <c r="D60" i="21"/>
  <c r="D10" i="24"/>
  <c r="D12" i="13"/>
  <c r="J20" i="20"/>
  <c r="D11" i="7"/>
  <c r="F27" i="2"/>
  <c r="D65" i="21"/>
  <c r="D24" i="7"/>
  <c r="D37" i="7"/>
  <c r="D53" i="7"/>
  <c r="D67" i="9"/>
  <c r="D70" i="9"/>
  <c r="D65" i="9"/>
  <c r="D71" i="9"/>
  <c r="D66" i="9"/>
  <c r="C102" i="9"/>
  <c r="C13" i="6"/>
  <c r="D66" i="21"/>
  <c r="D70" i="21"/>
  <c r="D11" i="24"/>
  <c r="D13" i="13"/>
  <c r="J21" i="20"/>
  <c r="D12" i="7"/>
  <c r="F28" i="2"/>
  <c r="D75" i="21"/>
  <c r="D25" i="7"/>
  <c r="D38" i="7"/>
  <c r="D54" i="7"/>
  <c r="D77" i="9"/>
  <c r="D80" i="9"/>
  <c r="D75" i="9"/>
  <c r="D81" i="9"/>
  <c r="D76" i="9"/>
  <c r="C103" i="9"/>
  <c r="C14" i="6"/>
  <c r="D76" i="21"/>
  <c r="D80" i="21"/>
  <c r="D12" i="24"/>
  <c r="D14" i="13"/>
  <c r="D13" i="7"/>
  <c r="F29" i="2"/>
  <c r="D85" i="21"/>
  <c r="D26" i="7"/>
  <c r="D39" i="7"/>
  <c r="D55" i="7"/>
  <c r="D87" i="9"/>
  <c r="D90" i="9"/>
  <c r="D85" i="9"/>
  <c r="D91" i="9"/>
  <c r="D86" i="9"/>
  <c r="C104" i="9"/>
  <c r="C15" i="6"/>
  <c r="D86" i="21"/>
  <c r="D90" i="21"/>
  <c r="D13" i="24"/>
  <c r="D15" i="13"/>
  <c r="J23" i="20"/>
  <c r="D14" i="7"/>
  <c r="D14" i="24"/>
  <c r="D16" i="13"/>
  <c r="D21" i="13"/>
  <c r="D18" i="25"/>
  <c r="D19" i="25"/>
  <c r="D20" i="25"/>
  <c r="D25" i="25"/>
  <c r="D7" i="25"/>
  <c r="D34" i="25"/>
  <c r="D22" i="13"/>
  <c r="D131" i="12"/>
  <c r="D132" i="12"/>
  <c r="D133" i="12"/>
  <c r="D134" i="12"/>
  <c r="D135" i="12"/>
  <c r="D136" i="12"/>
  <c r="D137" i="12"/>
  <c r="D138" i="12"/>
  <c r="D139" i="12"/>
  <c r="D141" i="12"/>
  <c r="D8" i="25"/>
  <c r="D35" i="25"/>
  <c r="D23" i="13"/>
  <c r="F29" i="12"/>
  <c r="C87" i="12"/>
  <c r="F27" i="12"/>
  <c r="C85" i="12"/>
  <c r="F24" i="12"/>
  <c r="C82" i="12"/>
  <c r="F25" i="12"/>
  <c r="C83" i="12"/>
  <c r="E41" i="2"/>
  <c r="I41" i="2"/>
  <c r="F14" i="12"/>
  <c r="C72" i="12"/>
  <c r="E42" i="2"/>
  <c r="I42" i="2"/>
  <c r="F15" i="12"/>
  <c r="C73" i="12"/>
  <c r="E43" i="2"/>
  <c r="I43" i="2"/>
  <c r="F16" i="12"/>
  <c r="C74" i="12"/>
  <c r="E44" i="2"/>
  <c r="I44" i="2"/>
  <c r="F17" i="12"/>
  <c r="C75" i="12"/>
  <c r="E45" i="2"/>
  <c r="I45" i="2"/>
  <c r="F18" i="12"/>
  <c r="C76" i="12"/>
  <c r="E46" i="2"/>
  <c r="I46" i="2"/>
  <c r="F19" i="12"/>
  <c r="C77" i="12"/>
  <c r="E47" i="2"/>
  <c r="I47" i="2"/>
  <c r="F20" i="12"/>
  <c r="C78" i="12"/>
  <c r="E48" i="2"/>
  <c r="I48" i="2"/>
  <c r="F21" i="12"/>
  <c r="C79" i="12"/>
  <c r="E49" i="2"/>
  <c r="I49" i="2"/>
  <c r="F22" i="12"/>
  <c r="C80" i="12"/>
  <c r="F11" i="12"/>
  <c r="C69" i="12"/>
  <c r="F12" i="12"/>
  <c r="C70" i="12"/>
  <c r="F8" i="12"/>
  <c r="C66" i="12"/>
  <c r="F9" i="12"/>
  <c r="C67" i="12"/>
  <c r="C89" i="12"/>
  <c r="D9" i="25"/>
  <c r="D36" i="25"/>
  <c r="D24" i="13"/>
  <c r="D10" i="25"/>
  <c r="D37" i="25"/>
  <c r="D25" i="13"/>
  <c r="D26" i="13"/>
  <c r="D28" i="13"/>
  <c r="D6" i="14"/>
  <c r="D10" i="14"/>
  <c r="D7" i="14"/>
  <c r="D34" i="14"/>
  <c r="F14" i="2"/>
  <c r="D14" i="14"/>
  <c r="D47" i="13"/>
  <c r="D48" i="13"/>
  <c r="D49" i="13"/>
  <c r="D19" i="24"/>
  <c r="D36" i="13"/>
  <c r="D20" i="24"/>
  <c r="D37" i="13"/>
  <c r="D21" i="24"/>
  <c r="D38" i="13"/>
  <c r="D22" i="24"/>
  <c r="D39" i="13"/>
  <c r="D23" i="24"/>
  <c r="D40" i="13"/>
  <c r="D24" i="24"/>
  <c r="D41" i="13"/>
  <c r="D25" i="24"/>
  <c r="D42" i="13"/>
  <c r="D26" i="24"/>
  <c r="D43" i="13"/>
  <c r="D27" i="24"/>
  <c r="D44" i="13"/>
  <c r="D27" i="7"/>
  <c r="D28" i="24"/>
  <c r="D45" i="13"/>
  <c r="D50" i="13"/>
  <c r="D26" i="25"/>
  <c r="D42" i="25"/>
  <c r="D51" i="13"/>
  <c r="D43" i="25"/>
  <c r="D52" i="13"/>
  <c r="D44" i="25"/>
  <c r="D53" i="13"/>
  <c r="D45" i="25"/>
  <c r="D54" i="13"/>
  <c r="D55" i="13"/>
  <c r="D57" i="13"/>
  <c r="D15" i="14"/>
  <c r="D19" i="14"/>
  <c r="D16" i="14"/>
  <c r="D35" i="14"/>
  <c r="F15" i="2"/>
  <c r="D23" i="14"/>
  <c r="D76" i="13"/>
  <c r="D77" i="13"/>
  <c r="D78" i="13"/>
  <c r="D33" i="24"/>
  <c r="D65" i="13"/>
  <c r="D34" i="24"/>
  <c r="D66" i="13"/>
  <c r="D35" i="24"/>
  <c r="D67" i="13"/>
  <c r="D36" i="24"/>
  <c r="D68" i="13"/>
  <c r="D37" i="24"/>
  <c r="D69" i="13"/>
  <c r="D38" i="24"/>
  <c r="D70" i="13"/>
  <c r="D39" i="24"/>
  <c r="D71" i="13"/>
  <c r="D40" i="24"/>
  <c r="D72" i="13"/>
  <c r="D41" i="24"/>
  <c r="D73" i="13"/>
  <c r="D40" i="7"/>
  <c r="D42" i="24"/>
  <c r="D74" i="13"/>
  <c r="D79" i="13"/>
  <c r="D27" i="25"/>
  <c r="D50" i="25"/>
  <c r="D80" i="13"/>
  <c r="D51" i="25"/>
  <c r="D81" i="13"/>
  <c r="D52" i="25"/>
  <c r="D82" i="13"/>
  <c r="D53" i="25"/>
  <c r="D83" i="13"/>
  <c r="D84" i="13"/>
  <c r="D86" i="13"/>
  <c r="D24" i="14"/>
  <c r="D28" i="14"/>
  <c r="D25" i="14"/>
  <c r="D36" i="14"/>
  <c r="D38" i="14"/>
  <c r="C14" i="27"/>
  <c r="C15" i="27"/>
  <c r="C18" i="27"/>
  <c r="C6" i="27"/>
  <c r="C10" i="27"/>
  <c r="C7" i="10"/>
  <c r="C17" i="6"/>
  <c r="C8" i="10"/>
  <c r="C11" i="10"/>
  <c r="C9" i="11"/>
  <c r="C15" i="10"/>
  <c r="C17" i="10"/>
  <c r="C20" i="10"/>
  <c r="C31" i="18"/>
  <c r="C32" i="18"/>
  <c r="C116" i="18"/>
  <c r="C36" i="11"/>
  <c r="C111" i="18"/>
  <c r="D7" i="3"/>
  <c r="D14" i="3"/>
  <c r="D21" i="3"/>
  <c r="D30" i="3"/>
  <c r="D8" i="3"/>
  <c r="D15" i="3"/>
  <c r="D22" i="3"/>
  <c r="D31" i="3"/>
  <c r="D9" i="3"/>
  <c r="D16" i="3"/>
  <c r="D23" i="3"/>
  <c r="D32" i="3"/>
  <c r="D34" i="3"/>
  <c r="D5" i="22"/>
  <c r="D6" i="22"/>
  <c r="D12" i="22"/>
  <c r="D7" i="22"/>
  <c r="D8" i="22"/>
  <c r="D13" i="22"/>
  <c r="D14" i="22"/>
  <c r="D15" i="22"/>
  <c r="D9" i="18"/>
  <c r="D11" i="18"/>
  <c r="C5" i="23"/>
  <c r="C7" i="23"/>
  <c r="C12" i="23"/>
  <c r="D13" i="23"/>
  <c r="D24" i="18"/>
  <c r="D25" i="3"/>
  <c r="D7" i="27"/>
  <c r="D8" i="27"/>
  <c r="D25" i="18"/>
  <c r="D28" i="5"/>
  <c r="D29" i="5"/>
  <c r="D30" i="5"/>
  <c r="E9" i="4"/>
  <c r="E12" i="4"/>
  <c r="D10" i="4"/>
  <c r="E7" i="4"/>
  <c r="E13" i="4"/>
  <c r="E8" i="4"/>
  <c r="E39" i="4"/>
  <c r="E31" i="26"/>
  <c r="E9" i="26"/>
  <c r="E54" i="26"/>
  <c r="E77" i="26"/>
  <c r="E100" i="26"/>
  <c r="E123" i="26"/>
  <c r="E19" i="4"/>
  <c r="E22" i="4"/>
  <c r="D20" i="4"/>
  <c r="E17" i="4"/>
  <c r="E23" i="4"/>
  <c r="E18" i="4"/>
  <c r="E40" i="4"/>
  <c r="E37" i="26"/>
  <c r="E15" i="26"/>
  <c r="E60" i="26"/>
  <c r="E83" i="26"/>
  <c r="E106" i="26"/>
  <c r="E129" i="26"/>
  <c r="E29" i="4"/>
  <c r="E32" i="4"/>
  <c r="D30" i="4"/>
  <c r="E27" i="4"/>
  <c r="E33" i="4"/>
  <c r="E28" i="4"/>
  <c r="E41" i="4"/>
  <c r="E44" i="26"/>
  <c r="E22" i="26"/>
  <c r="E67" i="26"/>
  <c r="E90" i="26"/>
  <c r="E113" i="26"/>
  <c r="E136" i="26"/>
  <c r="D7" i="5"/>
  <c r="E32" i="26"/>
  <c r="E10" i="26"/>
  <c r="E55" i="26"/>
  <c r="E78" i="26"/>
  <c r="E101" i="26"/>
  <c r="E124" i="26"/>
  <c r="E38" i="26"/>
  <c r="E16" i="26"/>
  <c r="E61" i="26"/>
  <c r="E84" i="26"/>
  <c r="E107" i="26"/>
  <c r="E130" i="26"/>
  <c r="E45" i="26"/>
  <c r="E23" i="26"/>
  <c r="E68" i="26"/>
  <c r="E91" i="26"/>
  <c r="E114" i="26"/>
  <c r="E137" i="26"/>
  <c r="D8" i="5"/>
  <c r="E33" i="26"/>
  <c r="E11" i="26"/>
  <c r="E56" i="26"/>
  <c r="E79" i="26"/>
  <c r="E102" i="26"/>
  <c r="E125" i="26"/>
  <c r="E39" i="26"/>
  <c r="E17" i="26"/>
  <c r="E62" i="26"/>
  <c r="E85" i="26"/>
  <c r="E108" i="26"/>
  <c r="E131" i="26"/>
  <c r="E46" i="26"/>
  <c r="E24" i="26"/>
  <c r="E69" i="26"/>
  <c r="E92" i="26"/>
  <c r="E115" i="26"/>
  <c r="E138" i="26"/>
  <c r="D9" i="5"/>
  <c r="D10" i="5"/>
  <c r="D15" i="5"/>
  <c r="D16" i="5"/>
  <c r="D17" i="5"/>
  <c r="D18" i="5"/>
  <c r="D19" i="5"/>
  <c r="D20" i="5"/>
  <c r="D22" i="5"/>
  <c r="D31" i="5"/>
  <c r="D32" i="5"/>
  <c r="D33" i="5"/>
  <c r="D34" i="5"/>
  <c r="D26" i="18"/>
  <c r="D41" i="5"/>
  <c r="D42" i="5"/>
  <c r="D43" i="5"/>
  <c r="D44" i="5"/>
  <c r="D27" i="18"/>
  <c r="D29" i="18"/>
  <c r="D9" i="22"/>
  <c r="D8" i="14"/>
  <c r="E5" i="14"/>
  <c r="E18" i="13"/>
  <c r="E19" i="13"/>
  <c r="E20" i="13"/>
  <c r="E5" i="7"/>
  <c r="D7" i="21"/>
  <c r="D8" i="21"/>
  <c r="E5" i="21"/>
  <c r="E18" i="7"/>
  <c r="E31" i="7"/>
  <c r="E47" i="7"/>
  <c r="E7" i="9"/>
  <c r="E10" i="9"/>
  <c r="D8" i="9"/>
  <c r="E5" i="9"/>
  <c r="E11" i="9"/>
  <c r="E6" i="9"/>
  <c r="D96" i="9"/>
  <c r="D7" i="6"/>
  <c r="E6" i="21"/>
  <c r="E10" i="21"/>
  <c r="E5" i="24"/>
  <c r="E7" i="13"/>
  <c r="E6" i="7"/>
  <c r="D17" i="21"/>
  <c r="D18" i="21"/>
  <c r="E15" i="21"/>
  <c r="E19" i="7"/>
  <c r="E32" i="7"/>
  <c r="E48" i="7"/>
  <c r="E17" i="9"/>
  <c r="E20" i="9"/>
  <c r="D18" i="9"/>
  <c r="E15" i="9"/>
  <c r="E21" i="9"/>
  <c r="E16" i="9"/>
  <c r="D97" i="9"/>
  <c r="D8" i="6"/>
  <c r="E16" i="21"/>
  <c r="E20" i="21"/>
  <c r="E6" i="24"/>
  <c r="E8" i="13"/>
  <c r="E7" i="7"/>
  <c r="D27" i="21"/>
  <c r="D28" i="21"/>
  <c r="E25" i="21"/>
  <c r="E20" i="7"/>
  <c r="E33" i="7"/>
  <c r="E49" i="7"/>
  <c r="E27" i="9"/>
  <c r="E30" i="9"/>
  <c r="D28" i="9"/>
  <c r="E25" i="9"/>
  <c r="E31" i="9"/>
  <c r="E26" i="9"/>
  <c r="D98" i="9"/>
  <c r="D9" i="6"/>
  <c r="E26" i="21"/>
  <c r="E30" i="21"/>
  <c r="E7" i="24"/>
  <c r="E9" i="13"/>
  <c r="E8" i="7"/>
  <c r="D37" i="21"/>
  <c r="D38" i="21"/>
  <c r="E35" i="21"/>
  <c r="E21" i="7"/>
  <c r="E34" i="7"/>
  <c r="E50" i="7"/>
  <c r="E37" i="9"/>
  <c r="E40" i="9"/>
  <c r="D38" i="9"/>
  <c r="E35" i="9"/>
  <c r="E41" i="9"/>
  <c r="E36" i="9"/>
  <c r="D99" i="9"/>
  <c r="D10" i="6"/>
  <c r="E36" i="21"/>
  <c r="E40" i="21"/>
  <c r="E8" i="24"/>
  <c r="E10" i="13"/>
  <c r="E9" i="7"/>
  <c r="D47" i="21"/>
  <c r="D48" i="21"/>
  <c r="E45" i="21"/>
  <c r="E22" i="7"/>
  <c r="E35" i="7"/>
  <c r="E51" i="7"/>
  <c r="E47" i="9"/>
  <c r="E50" i="9"/>
  <c r="D48" i="9"/>
  <c r="E45" i="9"/>
  <c r="E51" i="9"/>
  <c r="E46" i="9"/>
  <c r="D100" i="9"/>
  <c r="D11" i="6"/>
  <c r="E46" i="21"/>
  <c r="E50" i="21"/>
  <c r="E9" i="24"/>
  <c r="E11" i="13"/>
  <c r="E10" i="7"/>
  <c r="D57" i="21"/>
  <c r="D58" i="21"/>
  <c r="E55" i="21"/>
  <c r="E23" i="7"/>
  <c r="E36" i="7"/>
  <c r="E52" i="7"/>
  <c r="E57" i="9"/>
  <c r="E60" i="9"/>
  <c r="D58" i="9"/>
  <c r="E55" i="9"/>
  <c r="E61" i="9"/>
  <c r="E56" i="9"/>
  <c r="D101" i="9"/>
  <c r="D12" i="6"/>
  <c r="E56" i="21"/>
  <c r="E60" i="21"/>
  <c r="E10" i="24"/>
  <c r="E12" i="13"/>
  <c r="E11" i="7"/>
  <c r="D67" i="21"/>
  <c r="D68" i="21"/>
  <c r="E65" i="21"/>
  <c r="E24" i="7"/>
  <c r="E37" i="7"/>
  <c r="E53" i="7"/>
  <c r="E67" i="9"/>
  <c r="E70" i="9"/>
  <c r="D68" i="9"/>
  <c r="E65" i="9"/>
  <c r="E71" i="9"/>
  <c r="E66" i="9"/>
  <c r="D102" i="9"/>
  <c r="D13" i="6"/>
  <c r="E66" i="21"/>
  <c r="E70" i="21"/>
  <c r="E11" i="24"/>
  <c r="E13" i="13"/>
  <c r="E12" i="7"/>
  <c r="E25" i="7"/>
  <c r="E38" i="7"/>
  <c r="E54" i="7"/>
  <c r="E77" i="9"/>
  <c r="E80" i="9"/>
  <c r="D78" i="9"/>
  <c r="E75" i="9"/>
  <c r="E81" i="9"/>
  <c r="E76" i="9"/>
  <c r="D103" i="9"/>
  <c r="D14" i="6"/>
  <c r="E76" i="21"/>
  <c r="E80" i="21"/>
  <c r="E12" i="24"/>
  <c r="E14" i="13"/>
  <c r="E13" i="7"/>
  <c r="E26" i="7"/>
  <c r="E39" i="7"/>
  <c r="E55" i="7"/>
  <c r="E87" i="9"/>
  <c r="E90" i="9"/>
  <c r="D88" i="9"/>
  <c r="E85" i="9"/>
  <c r="E91" i="9"/>
  <c r="E86" i="9"/>
  <c r="D104" i="9"/>
  <c r="D15" i="6"/>
  <c r="E86" i="21"/>
  <c r="E90" i="21"/>
  <c r="E13" i="24"/>
  <c r="E15" i="13"/>
  <c r="E14" i="7"/>
  <c r="E14" i="24"/>
  <c r="E16" i="13"/>
  <c r="E21" i="13"/>
  <c r="E18" i="25"/>
  <c r="E19" i="25"/>
  <c r="E20" i="25"/>
  <c r="E25" i="25"/>
  <c r="E7" i="25"/>
  <c r="E34" i="25"/>
  <c r="E22" i="13"/>
  <c r="E131" i="12"/>
  <c r="E132" i="12"/>
  <c r="E133" i="12"/>
  <c r="E134" i="12"/>
  <c r="E135" i="12"/>
  <c r="E136" i="12"/>
  <c r="E137" i="12"/>
  <c r="E138" i="12"/>
  <c r="E139" i="12"/>
  <c r="E141" i="12"/>
  <c r="E8" i="25"/>
  <c r="E35" i="25"/>
  <c r="E23" i="13"/>
  <c r="C29" i="12"/>
  <c r="D29" i="12"/>
  <c r="E29" i="12"/>
  <c r="G29" i="12"/>
  <c r="C58" i="12"/>
  <c r="D58" i="12"/>
  <c r="D87" i="12"/>
  <c r="C27" i="12"/>
  <c r="D27" i="12"/>
  <c r="E27" i="12"/>
  <c r="G27" i="12"/>
  <c r="C56" i="12"/>
  <c r="D56" i="12"/>
  <c r="D85" i="12"/>
  <c r="C24" i="12"/>
  <c r="D24" i="12"/>
  <c r="E24" i="12"/>
  <c r="G24" i="12"/>
  <c r="C53" i="12"/>
  <c r="D53" i="12"/>
  <c r="D82" i="12"/>
  <c r="C25" i="12"/>
  <c r="D25" i="12"/>
  <c r="E25" i="12"/>
  <c r="G25" i="12"/>
  <c r="C54" i="12"/>
  <c r="D54" i="12"/>
  <c r="D83" i="12"/>
  <c r="C14" i="12"/>
  <c r="D14" i="12"/>
  <c r="E14" i="12"/>
  <c r="G14" i="12"/>
  <c r="C43" i="12"/>
  <c r="D43" i="12"/>
  <c r="D72" i="12"/>
  <c r="C15" i="12"/>
  <c r="D15" i="12"/>
  <c r="E15" i="12"/>
  <c r="G15" i="12"/>
  <c r="C44" i="12"/>
  <c r="D44" i="12"/>
  <c r="D73" i="12"/>
  <c r="C16" i="12"/>
  <c r="D16" i="12"/>
  <c r="E16" i="12"/>
  <c r="G16" i="12"/>
  <c r="C45" i="12"/>
  <c r="D45" i="12"/>
  <c r="D74" i="12"/>
  <c r="C17" i="12"/>
  <c r="D17" i="12"/>
  <c r="E17" i="12"/>
  <c r="G17" i="12"/>
  <c r="C46" i="12"/>
  <c r="D46" i="12"/>
  <c r="D75" i="12"/>
  <c r="C18" i="12"/>
  <c r="D18" i="12"/>
  <c r="E18" i="12"/>
  <c r="G18" i="12"/>
  <c r="C47" i="12"/>
  <c r="D47" i="12"/>
  <c r="D76" i="12"/>
  <c r="C19" i="12"/>
  <c r="D19" i="12"/>
  <c r="E19" i="12"/>
  <c r="G19" i="12"/>
  <c r="C48" i="12"/>
  <c r="D48" i="12"/>
  <c r="D77" i="12"/>
  <c r="C20" i="12"/>
  <c r="D20" i="12"/>
  <c r="E20" i="12"/>
  <c r="G20" i="12"/>
  <c r="C49" i="12"/>
  <c r="D49" i="12"/>
  <c r="D78" i="12"/>
  <c r="C21" i="12"/>
  <c r="D21" i="12"/>
  <c r="E21" i="12"/>
  <c r="G21" i="12"/>
  <c r="C50" i="12"/>
  <c r="D50" i="12"/>
  <c r="D79" i="12"/>
  <c r="C22" i="12"/>
  <c r="D22" i="12"/>
  <c r="E22" i="12"/>
  <c r="G22" i="12"/>
  <c r="C51" i="12"/>
  <c r="D51" i="12"/>
  <c r="D80" i="12"/>
  <c r="C11" i="12"/>
  <c r="D11" i="12"/>
  <c r="E11" i="12"/>
  <c r="G11" i="12"/>
  <c r="C40" i="12"/>
  <c r="D40" i="12"/>
  <c r="D69" i="12"/>
  <c r="C12" i="12"/>
  <c r="D12" i="12"/>
  <c r="E12" i="12"/>
  <c r="G12" i="12"/>
  <c r="C41" i="12"/>
  <c r="D41" i="12"/>
  <c r="D70" i="12"/>
  <c r="C8" i="12"/>
  <c r="D8" i="12"/>
  <c r="E8" i="12"/>
  <c r="G8" i="12"/>
  <c r="C37" i="12"/>
  <c r="D37" i="12"/>
  <c r="D66" i="12"/>
  <c r="C9" i="12"/>
  <c r="D9" i="12"/>
  <c r="E9" i="12"/>
  <c r="G9" i="12"/>
  <c r="C38" i="12"/>
  <c r="D38" i="12"/>
  <c r="D67" i="12"/>
  <c r="D89" i="12"/>
  <c r="E9" i="25"/>
  <c r="E36" i="25"/>
  <c r="E24" i="13"/>
  <c r="E10" i="25"/>
  <c r="E37" i="25"/>
  <c r="E25" i="13"/>
  <c r="E26" i="13"/>
  <c r="E28" i="13"/>
  <c r="E6" i="14"/>
  <c r="E10" i="14"/>
  <c r="E7" i="14"/>
  <c r="E34" i="14"/>
  <c r="D17" i="14"/>
  <c r="E14" i="14"/>
  <c r="E47" i="13"/>
  <c r="E48" i="13"/>
  <c r="E49" i="13"/>
  <c r="E19" i="24"/>
  <c r="E36" i="13"/>
  <c r="E20" i="24"/>
  <c r="E37" i="13"/>
  <c r="E21" i="24"/>
  <c r="E38" i="13"/>
  <c r="E22" i="24"/>
  <c r="E39" i="13"/>
  <c r="E23" i="24"/>
  <c r="E40" i="13"/>
  <c r="E24" i="24"/>
  <c r="E41" i="13"/>
  <c r="E25" i="24"/>
  <c r="E42" i="13"/>
  <c r="E26" i="24"/>
  <c r="E43" i="13"/>
  <c r="E27" i="24"/>
  <c r="E44" i="13"/>
  <c r="E27" i="7"/>
  <c r="E28" i="24"/>
  <c r="E45" i="13"/>
  <c r="E50" i="13"/>
  <c r="E26" i="25"/>
  <c r="E42" i="25"/>
  <c r="E51" i="13"/>
  <c r="E43" i="25"/>
  <c r="E52" i="13"/>
  <c r="E44" i="25"/>
  <c r="E53" i="13"/>
  <c r="E45" i="25"/>
  <c r="E54" i="13"/>
  <c r="E55" i="13"/>
  <c r="E57" i="13"/>
  <c r="E15" i="14"/>
  <c r="E19" i="14"/>
  <c r="E16" i="14"/>
  <c r="E35" i="14"/>
  <c r="D26" i="14"/>
  <c r="E23" i="14"/>
  <c r="E76" i="13"/>
  <c r="E77" i="13"/>
  <c r="E78" i="13"/>
  <c r="E33" i="24"/>
  <c r="E65" i="13"/>
  <c r="E34" i="24"/>
  <c r="E66" i="13"/>
  <c r="E35" i="24"/>
  <c r="E67" i="13"/>
  <c r="E36" i="24"/>
  <c r="E68" i="13"/>
  <c r="E37" i="24"/>
  <c r="E69" i="13"/>
  <c r="E38" i="24"/>
  <c r="E70" i="13"/>
  <c r="E39" i="24"/>
  <c r="E71" i="13"/>
  <c r="E40" i="24"/>
  <c r="E72" i="13"/>
  <c r="E41" i="24"/>
  <c r="E73" i="13"/>
  <c r="E40" i="7"/>
  <c r="E42" i="24"/>
  <c r="E74" i="13"/>
  <c r="E79" i="13"/>
  <c r="E27" i="25"/>
  <c r="E50" i="25"/>
  <c r="E80" i="13"/>
  <c r="E51" i="25"/>
  <c r="E81" i="13"/>
  <c r="E52" i="25"/>
  <c r="E82" i="13"/>
  <c r="E53" i="25"/>
  <c r="E83" i="13"/>
  <c r="E84" i="13"/>
  <c r="E86" i="13"/>
  <c r="E24" i="14"/>
  <c r="E28" i="14"/>
  <c r="E25" i="14"/>
  <c r="E36" i="14"/>
  <c r="E38" i="14"/>
  <c r="D14" i="27"/>
  <c r="D15" i="27"/>
  <c r="D18" i="27"/>
  <c r="D6" i="27"/>
  <c r="D10" i="27"/>
  <c r="D7" i="10"/>
  <c r="D17" i="6"/>
  <c r="D8" i="10"/>
  <c r="D11" i="10"/>
  <c r="C16" i="10"/>
  <c r="C18" i="10"/>
  <c r="D15" i="10"/>
  <c r="D17" i="10"/>
  <c r="D20" i="10"/>
  <c r="D31" i="18"/>
  <c r="D32" i="18"/>
  <c r="E31" i="11"/>
  <c r="C176" i="2"/>
  <c r="C49" i="11"/>
  <c r="C48" i="11"/>
  <c r="E7" i="3"/>
  <c r="E14" i="3"/>
  <c r="E21" i="3"/>
  <c r="E30" i="3"/>
  <c r="E8" i="3"/>
  <c r="E15" i="3"/>
  <c r="E22" i="3"/>
  <c r="E31" i="3"/>
  <c r="E9" i="3"/>
  <c r="E16" i="3"/>
  <c r="E23" i="3"/>
  <c r="E32" i="3"/>
  <c r="E34" i="3"/>
  <c r="E5" i="22"/>
  <c r="E6" i="22"/>
  <c r="E12" i="22"/>
  <c r="E7" i="22"/>
  <c r="E8" i="22"/>
  <c r="E13" i="22"/>
  <c r="E14" i="22"/>
  <c r="E15" i="22"/>
  <c r="E9" i="18"/>
  <c r="E11" i="18"/>
  <c r="D5" i="23"/>
  <c r="D7" i="23"/>
  <c r="D12" i="23"/>
  <c r="E13" i="23"/>
  <c r="E24" i="18"/>
  <c r="E25" i="3"/>
  <c r="E7" i="27"/>
  <c r="E8" i="27"/>
  <c r="E25" i="18"/>
  <c r="E28" i="5"/>
  <c r="E29" i="5"/>
  <c r="E30" i="5"/>
  <c r="F9" i="4"/>
  <c r="F12" i="4"/>
  <c r="E10" i="4"/>
  <c r="F7" i="4"/>
  <c r="F13" i="4"/>
  <c r="F8" i="4"/>
  <c r="F39" i="4"/>
  <c r="F31" i="26"/>
  <c r="F9" i="26"/>
  <c r="F54" i="26"/>
  <c r="F77" i="26"/>
  <c r="F100" i="26"/>
  <c r="F123" i="26"/>
  <c r="F19" i="4"/>
  <c r="F22" i="4"/>
  <c r="E20" i="4"/>
  <c r="F17" i="4"/>
  <c r="F23" i="4"/>
  <c r="F18" i="4"/>
  <c r="F40" i="4"/>
  <c r="F37" i="26"/>
  <c r="F15" i="26"/>
  <c r="F60" i="26"/>
  <c r="F83" i="26"/>
  <c r="F106" i="26"/>
  <c r="F129" i="26"/>
  <c r="F29" i="4"/>
  <c r="F32" i="4"/>
  <c r="E30" i="4"/>
  <c r="F27" i="4"/>
  <c r="F33" i="4"/>
  <c r="F28" i="4"/>
  <c r="F41" i="4"/>
  <c r="F44" i="26"/>
  <c r="F22" i="26"/>
  <c r="F67" i="26"/>
  <c r="F90" i="26"/>
  <c r="F113" i="26"/>
  <c r="F136" i="26"/>
  <c r="E7" i="5"/>
  <c r="F32" i="26"/>
  <c r="F10" i="26"/>
  <c r="F55" i="26"/>
  <c r="F78" i="26"/>
  <c r="F101" i="26"/>
  <c r="F124" i="26"/>
  <c r="F38" i="26"/>
  <c r="F16" i="26"/>
  <c r="F61" i="26"/>
  <c r="F84" i="26"/>
  <c r="F107" i="26"/>
  <c r="F130" i="26"/>
  <c r="F45" i="26"/>
  <c r="F23" i="26"/>
  <c r="F68" i="26"/>
  <c r="F91" i="26"/>
  <c r="F114" i="26"/>
  <c r="F137" i="26"/>
  <c r="E8" i="5"/>
  <c r="F33" i="26"/>
  <c r="F11" i="26"/>
  <c r="F56" i="26"/>
  <c r="F79" i="26"/>
  <c r="F102" i="26"/>
  <c r="F125" i="26"/>
  <c r="F39" i="26"/>
  <c r="F17" i="26"/>
  <c r="F62" i="26"/>
  <c r="F85" i="26"/>
  <c r="F108" i="26"/>
  <c r="F131" i="26"/>
  <c r="F46" i="26"/>
  <c r="F24" i="26"/>
  <c r="F69" i="26"/>
  <c r="F92" i="26"/>
  <c r="F115" i="26"/>
  <c r="F138" i="26"/>
  <c r="E9" i="5"/>
  <c r="E10" i="5"/>
  <c r="E15" i="5"/>
  <c r="E16" i="5"/>
  <c r="E17" i="5"/>
  <c r="E18" i="5"/>
  <c r="E19" i="5"/>
  <c r="E20" i="5"/>
  <c r="E22" i="5"/>
  <c r="E31" i="5"/>
  <c r="E32" i="5"/>
  <c r="E33" i="5"/>
  <c r="E34" i="5"/>
  <c r="E26" i="18"/>
  <c r="E41" i="5"/>
  <c r="E42" i="5"/>
  <c r="E43" i="5"/>
  <c r="E44" i="5"/>
  <c r="E27" i="18"/>
  <c r="E29" i="18"/>
  <c r="E9" i="22"/>
  <c r="E8" i="14"/>
  <c r="F5" i="14"/>
  <c r="F18" i="13"/>
  <c r="F19" i="13"/>
  <c r="F20" i="13"/>
  <c r="F5" i="7"/>
  <c r="E7" i="21"/>
  <c r="E8" i="21"/>
  <c r="F5" i="21"/>
  <c r="F18" i="7"/>
  <c r="F31" i="7"/>
  <c r="F47" i="7"/>
  <c r="F7" i="9"/>
  <c r="F10" i="9"/>
  <c r="E8" i="9"/>
  <c r="F5" i="9"/>
  <c r="F11" i="9"/>
  <c r="F6" i="9"/>
  <c r="E96" i="9"/>
  <c r="E7" i="6"/>
  <c r="F6" i="21"/>
  <c r="F10" i="21"/>
  <c r="F5" i="24"/>
  <c r="F7" i="13"/>
  <c r="F6" i="7"/>
  <c r="E17" i="21"/>
  <c r="E18" i="21"/>
  <c r="F15" i="21"/>
  <c r="F19" i="7"/>
  <c r="F32" i="7"/>
  <c r="F48" i="7"/>
  <c r="F17" i="9"/>
  <c r="F20" i="9"/>
  <c r="E18" i="9"/>
  <c r="F15" i="9"/>
  <c r="F21" i="9"/>
  <c r="F16" i="9"/>
  <c r="E97" i="9"/>
  <c r="E8" i="6"/>
  <c r="F16" i="21"/>
  <c r="F20" i="21"/>
  <c r="F6" i="24"/>
  <c r="F8" i="13"/>
  <c r="F7" i="7"/>
  <c r="E27" i="21"/>
  <c r="E28" i="21"/>
  <c r="F25" i="21"/>
  <c r="F20" i="7"/>
  <c r="F33" i="7"/>
  <c r="F49" i="7"/>
  <c r="F27" i="9"/>
  <c r="F30" i="9"/>
  <c r="E28" i="9"/>
  <c r="F25" i="9"/>
  <c r="F31" i="9"/>
  <c r="F26" i="9"/>
  <c r="E98" i="9"/>
  <c r="E9" i="6"/>
  <c r="F26" i="21"/>
  <c r="F30" i="21"/>
  <c r="F7" i="24"/>
  <c r="F9" i="13"/>
  <c r="F8" i="7"/>
  <c r="E37" i="21"/>
  <c r="E38" i="21"/>
  <c r="F35" i="21"/>
  <c r="F21" i="7"/>
  <c r="F34" i="7"/>
  <c r="F50" i="7"/>
  <c r="F37" i="9"/>
  <c r="F40" i="9"/>
  <c r="E38" i="9"/>
  <c r="F35" i="9"/>
  <c r="F41" i="9"/>
  <c r="F36" i="9"/>
  <c r="E99" i="9"/>
  <c r="E10" i="6"/>
  <c r="F36" i="21"/>
  <c r="F40" i="21"/>
  <c r="F8" i="24"/>
  <c r="F10" i="13"/>
  <c r="F9" i="7"/>
  <c r="E47" i="21"/>
  <c r="E48" i="21"/>
  <c r="F45" i="21"/>
  <c r="F22" i="7"/>
  <c r="F35" i="7"/>
  <c r="F51" i="7"/>
  <c r="F47" i="9"/>
  <c r="F50" i="9"/>
  <c r="E48" i="9"/>
  <c r="F45" i="9"/>
  <c r="F51" i="9"/>
  <c r="F46" i="9"/>
  <c r="E100" i="9"/>
  <c r="E11" i="6"/>
  <c r="F46" i="21"/>
  <c r="F50" i="21"/>
  <c r="F9" i="24"/>
  <c r="F11" i="13"/>
  <c r="F10" i="7"/>
  <c r="E57" i="21"/>
  <c r="E58" i="21"/>
  <c r="F55" i="21"/>
  <c r="F23" i="7"/>
  <c r="F36" i="7"/>
  <c r="F52" i="7"/>
  <c r="F57" i="9"/>
  <c r="F60" i="9"/>
  <c r="E58" i="9"/>
  <c r="F55" i="9"/>
  <c r="F61" i="9"/>
  <c r="F56" i="9"/>
  <c r="E101" i="9"/>
  <c r="E12" i="6"/>
  <c r="F56" i="21"/>
  <c r="F60" i="21"/>
  <c r="F10" i="24"/>
  <c r="F12" i="13"/>
  <c r="F11" i="7"/>
  <c r="E67" i="21"/>
  <c r="E68" i="21"/>
  <c r="F65" i="21"/>
  <c r="F24" i="7"/>
  <c r="F37" i="7"/>
  <c r="F53" i="7"/>
  <c r="F67" i="9"/>
  <c r="F70" i="9"/>
  <c r="E68" i="9"/>
  <c r="F65" i="9"/>
  <c r="F71" i="9"/>
  <c r="F66" i="9"/>
  <c r="E102" i="9"/>
  <c r="E13" i="6"/>
  <c r="F66" i="21"/>
  <c r="F70" i="21"/>
  <c r="F11" i="24"/>
  <c r="F13" i="13"/>
  <c r="F12" i="7"/>
  <c r="F25" i="7"/>
  <c r="F38" i="7"/>
  <c r="F54" i="7"/>
  <c r="F77" i="9"/>
  <c r="F80" i="9"/>
  <c r="E78" i="9"/>
  <c r="F75" i="9"/>
  <c r="F81" i="9"/>
  <c r="F76" i="9"/>
  <c r="E103" i="9"/>
  <c r="E14" i="6"/>
  <c r="F76" i="21"/>
  <c r="F80" i="21"/>
  <c r="F12" i="24"/>
  <c r="F14" i="13"/>
  <c r="F13" i="7"/>
  <c r="F26" i="7"/>
  <c r="F39" i="7"/>
  <c r="F55" i="7"/>
  <c r="F87" i="9"/>
  <c r="F90" i="9"/>
  <c r="E88" i="9"/>
  <c r="F85" i="9"/>
  <c r="F91" i="9"/>
  <c r="F86" i="9"/>
  <c r="E104" i="9"/>
  <c r="E15" i="6"/>
  <c r="F86" i="21"/>
  <c r="F90" i="21"/>
  <c r="F13" i="24"/>
  <c r="F15" i="13"/>
  <c r="F14" i="7"/>
  <c r="F14" i="24"/>
  <c r="F16" i="13"/>
  <c r="F21" i="13"/>
  <c r="F18" i="25"/>
  <c r="F19" i="25"/>
  <c r="F20" i="25"/>
  <c r="F25" i="25"/>
  <c r="F7" i="25"/>
  <c r="F34" i="25"/>
  <c r="F22" i="13"/>
  <c r="F131" i="12"/>
  <c r="F132" i="12"/>
  <c r="F133" i="12"/>
  <c r="F134" i="12"/>
  <c r="F135" i="12"/>
  <c r="F136" i="12"/>
  <c r="F137" i="12"/>
  <c r="F138" i="12"/>
  <c r="F139" i="12"/>
  <c r="F141" i="12"/>
  <c r="F8" i="25"/>
  <c r="F35" i="25"/>
  <c r="F23" i="13"/>
  <c r="E58" i="12"/>
  <c r="E87" i="12"/>
  <c r="E56" i="12"/>
  <c r="E85" i="12"/>
  <c r="E53" i="12"/>
  <c r="E82" i="12"/>
  <c r="E54" i="12"/>
  <c r="E83" i="12"/>
  <c r="E43" i="12"/>
  <c r="E72" i="12"/>
  <c r="E44" i="12"/>
  <c r="E73" i="12"/>
  <c r="E45" i="12"/>
  <c r="E74" i="12"/>
  <c r="E46" i="12"/>
  <c r="E75" i="12"/>
  <c r="E47" i="12"/>
  <c r="E76" i="12"/>
  <c r="E48" i="12"/>
  <c r="E77" i="12"/>
  <c r="E49" i="12"/>
  <c r="E78" i="12"/>
  <c r="E50" i="12"/>
  <c r="E79" i="12"/>
  <c r="E51" i="12"/>
  <c r="E80" i="12"/>
  <c r="E40" i="12"/>
  <c r="E69" i="12"/>
  <c r="E41" i="12"/>
  <c r="E70" i="12"/>
  <c r="E37" i="12"/>
  <c r="E66" i="12"/>
  <c r="E38" i="12"/>
  <c r="E67" i="12"/>
  <c r="E89" i="12"/>
  <c r="F9" i="25"/>
  <c r="F36" i="25"/>
  <c r="F24" i="13"/>
  <c r="F10" i="25"/>
  <c r="F37" i="25"/>
  <c r="F25" i="13"/>
  <c r="F26" i="13"/>
  <c r="F28" i="13"/>
  <c r="F6" i="14"/>
  <c r="F10" i="14"/>
  <c r="F7" i="14"/>
  <c r="F34" i="14"/>
  <c r="E17" i="14"/>
  <c r="F14" i="14"/>
  <c r="F47" i="13"/>
  <c r="F48" i="13"/>
  <c r="F49" i="13"/>
  <c r="F19" i="24"/>
  <c r="F36" i="13"/>
  <c r="F20" i="24"/>
  <c r="F37" i="13"/>
  <c r="F21" i="24"/>
  <c r="F38" i="13"/>
  <c r="F22" i="24"/>
  <c r="F39" i="13"/>
  <c r="F23" i="24"/>
  <c r="F40" i="13"/>
  <c r="F24" i="24"/>
  <c r="F41" i="13"/>
  <c r="F25" i="24"/>
  <c r="F42" i="13"/>
  <c r="F26" i="24"/>
  <c r="F43" i="13"/>
  <c r="F27" i="24"/>
  <c r="F44" i="13"/>
  <c r="F27" i="7"/>
  <c r="F28" i="24"/>
  <c r="F45" i="13"/>
  <c r="F50" i="13"/>
  <c r="F26" i="25"/>
  <c r="F42" i="25"/>
  <c r="F51" i="13"/>
  <c r="F43" i="25"/>
  <c r="F52" i="13"/>
  <c r="F44" i="25"/>
  <c r="F53" i="13"/>
  <c r="F45" i="25"/>
  <c r="F54" i="13"/>
  <c r="F55" i="13"/>
  <c r="F57" i="13"/>
  <c r="F15" i="14"/>
  <c r="F19" i="14"/>
  <c r="F16" i="14"/>
  <c r="F35" i="14"/>
  <c r="E26" i="14"/>
  <c r="F23" i="14"/>
  <c r="F76" i="13"/>
  <c r="F77" i="13"/>
  <c r="F78" i="13"/>
  <c r="F33" i="24"/>
  <c r="F65" i="13"/>
  <c r="F34" i="24"/>
  <c r="F66" i="13"/>
  <c r="F35" i="24"/>
  <c r="F67" i="13"/>
  <c r="F36" i="24"/>
  <c r="F68" i="13"/>
  <c r="F37" i="24"/>
  <c r="F69" i="13"/>
  <c r="F38" i="24"/>
  <c r="F70" i="13"/>
  <c r="F39" i="24"/>
  <c r="F71" i="13"/>
  <c r="F40" i="24"/>
  <c r="F72" i="13"/>
  <c r="F41" i="24"/>
  <c r="F73" i="13"/>
  <c r="F40" i="7"/>
  <c r="F42" i="24"/>
  <c r="F74" i="13"/>
  <c r="F79" i="13"/>
  <c r="F27" i="25"/>
  <c r="F50" i="25"/>
  <c r="F80" i="13"/>
  <c r="F51" i="25"/>
  <c r="F81" i="13"/>
  <c r="F52" i="25"/>
  <c r="F82" i="13"/>
  <c r="F53" i="25"/>
  <c r="F83" i="13"/>
  <c r="F84" i="13"/>
  <c r="F86" i="13"/>
  <c r="F24" i="14"/>
  <c r="F28" i="14"/>
  <c r="F25" i="14"/>
  <c r="F36" i="14"/>
  <c r="F38" i="14"/>
  <c r="E14" i="27"/>
  <c r="E15" i="27"/>
  <c r="E18" i="27"/>
  <c r="E6" i="27"/>
  <c r="E10" i="27"/>
  <c r="E7" i="10"/>
  <c r="E17" i="6"/>
  <c r="E8" i="10"/>
  <c r="E11" i="10"/>
  <c r="D16" i="10"/>
  <c r="D18" i="10"/>
  <c r="E15" i="10"/>
  <c r="E17" i="10"/>
  <c r="E20" i="10"/>
  <c r="E31" i="18"/>
  <c r="E32" i="18"/>
  <c r="F31" i="11"/>
  <c r="F7" i="3"/>
  <c r="F14" i="3"/>
  <c r="F21" i="3"/>
  <c r="F30" i="3"/>
  <c r="F8" i="3"/>
  <c r="F15" i="3"/>
  <c r="F22" i="3"/>
  <c r="F31" i="3"/>
  <c r="F9" i="3"/>
  <c r="F16" i="3"/>
  <c r="F23" i="3"/>
  <c r="F32" i="3"/>
  <c r="F34" i="3"/>
  <c r="F5" i="22"/>
  <c r="F6" i="22"/>
  <c r="F12" i="22"/>
  <c r="F7" i="22"/>
  <c r="F8" i="22"/>
  <c r="F13" i="22"/>
  <c r="F14" i="22"/>
  <c r="F15" i="22"/>
  <c r="F9" i="18"/>
  <c r="F11" i="18"/>
  <c r="E5" i="23"/>
  <c r="E7" i="23"/>
  <c r="E12" i="23"/>
  <c r="F13" i="23"/>
  <c r="F24" i="18"/>
  <c r="F25" i="3"/>
  <c r="F7" i="27"/>
  <c r="F8" i="27"/>
  <c r="F25" i="18"/>
  <c r="F28" i="5"/>
  <c r="F29" i="5"/>
  <c r="F30" i="5"/>
  <c r="G9" i="4"/>
  <c r="G12" i="4"/>
  <c r="F10" i="4"/>
  <c r="G7" i="4"/>
  <c r="G13" i="4"/>
  <c r="G8" i="4"/>
  <c r="G39" i="4"/>
  <c r="G31" i="26"/>
  <c r="G9" i="26"/>
  <c r="G54" i="26"/>
  <c r="G77" i="26"/>
  <c r="G100" i="26"/>
  <c r="G123" i="26"/>
  <c r="G19" i="4"/>
  <c r="G22" i="4"/>
  <c r="F20" i="4"/>
  <c r="G17" i="4"/>
  <c r="G23" i="4"/>
  <c r="G18" i="4"/>
  <c r="G40" i="4"/>
  <c r="G37" i="26"/>
  <c r="G15" i="26"/>
  <c r="G60" i="26"/>
  <c r="G83" i="26"/>
  <c r="G106" i="26"/>
  <c r="G129" i="26"/>
  <c r="G29" i="4"/>
  <c r="G32" i="4"/>
  <c r="F30" i="4"/>
  <c r="G27" i="4"/>
  <c r="G33" i="4"/>
  <c r="G28" i="4"/>
  <c r="G41" i="4"/>
  <c r="G44" i="26"/>
  <c r="G22" i="26"/>
  <c r="G67" i="26"/>
  <c r="G90" i="26"/>
  <c r="G113" i="26"/>
  <c r="G136" i="26"/>
  <c r="F7" i="5"/>
  <c r="G32" i="26"/>
  <c r="G10" i="26"/>
  <c r="G55" i="26"/>
  <c r="G78" i="26"/>
  <c r="G101" i="26"/>
  <c r="G124" i="26"/>
  <c r="G38" i="26"/>
  <c r="G16" i="26"/>
  <c r="G61" i="26"/>
  <c r="G84" i="26"/>
  <c r="G107" i="26"/>
  <c r="G130" i="26"/>
  <c r="G45" i="26"/>
  <c r="G23" i="26"/>
  <c r="G68" i="26"/>
  <c r="G91" i="26"/>
  <c r="G114" i="26"/>
  <c r="G137" i="26"/>
  <c r="F8" i="5"/>
  <c r="G33" i="26"/>
  <c r="G11" i="26"/>
  <c r="G56" i="26"/>
  <c r="G79" i="26"/>
  <c r="G102" i="26"/>
  <c r="G125" i="26"/>
  <c r="G39" i="26"/>
  <c r="G17" i="26"/>
  <c r="G62" i="26"/>
  <c r="G85" i="26"/>
  <c r="G108" i="26"/>
  <c r="G131" i="26"/>
  <c r="G46" i="26"/>
  <c r="G24" i="26"/>
  <c r="G69" i="26"/>
  <c r="G92" i="26"/>
  <c r="G115" i="26"/>
  <c r="G138" i="26"/>
  <c r="F9" i="5"/>
  <c r="F10" i="5"/>
  <c r="F15" i="5"/>
  <c r="F16" i="5"/>
  <c r="F17" i="5"/>
  <c r="F18" i="5"/>
  <c r="F19" i="5"/>
  <c r="F20" i="5"/>
  <c r="F22" i="5"/>
  <c r="F31" i="5"/>
  <c r="F32" i="5"/>
  <c r="F33" i="5"/>
  <c r="F34" i="5"/>
  <c r="F26" i="18"/>
  <c r="F41" i="5"/>
  <c r="F42" i="5"/>
  <c r="F43" i="5"/>
  <c r="F44" i="5"/>
  <c r="F27" i="18"/>
  <c r="F29" i="18"/>
  <c r="F9" i="22"/>
  <c r="F8" i="14"/>
  <c r="G5" i="14"/>
  <c r="G18" i="13"/>
  <c r="G19" i="13"/>
  <c r="G20" i="13"/>
  <c r="G5" i="7"/>
  <c r="F7" i="21"/>
  <c r="F8" i="21"/>
  <c r="G5" i="21"/>
  <c r="G18" i="7"/>
  <c r="G31" i="7"/>
  <c r="G47" i="7"/>
  <c r="G7" i="9"/>
  <c r="G10" i="9"/>
  <c r="F8" i="9"/>
  <c r="G5" i="9"/>
  <c r="G11" i="9"/>
  <c r="G6" i="9"/>
  <c r="F96" i="9"/>
  <c r="F7" i="6"/>
  <c r="G6" i="21"/>
  <c r="G10" i="21"/>
  <c r="G5" i="24"/>
  <c r="G7" i="13"/>
  <c r="G6" i="7"/>
  <c r="F17" i="21"/>
  <c r="F18" i="21"/>
  <c r="G15" i="21"/>
  <c r="G19" i="7"/>
  <c r="G32" i="7"/>
  <c r="G48" i="7"/>
  <c r="G17" i="9"/>
  <c r="G20" i="9"/>
  <c r="F18" i="9"/>
  <c r="G15" i="9"/>
  <c r="G21" i="9"/>
  <c r="G16" i="9"/>
  <c r="F97" i="9"/>
  <c r="F8" i="6"/>
  <c r="G16" i="21"/>
  <c r="G20" i="21"/>
  <c r="G6" i="24"/>
  <c r="G8" i="13"/>
  <c r="G7" i="7"/>
  <c r="F27" i="21"/>
  <c r="F28" i="21"/>
  <c r="G25" i="21"/>
  <c r="G20" i="7"/>
  <c r="G33" i="7"/>
  <c r="G49" i="7"/>
  <c r="G27" i="9"/>
  <c r="G30" i="9"/>
  <c r="F28" i="9"/>
  <c r="G25" i="9"/>
  <c r="G31" i="9"/>
  <c r="G26" i="9"/>
  <c r="F98" i="9"/>
  <c r="F9" i="6"/>
  <c r="G26" i="21"/>
  <c r="G30" i="21"/>
  <c r="G7" i="24"/>
  <c r="G9" i="13"/>
  <c r="G8" i="7"/>
  <c r="F37" i="21"/>
  <c r="F38" i="21"/>
  <c r="G35" i="21"/>
  <c r="G21" i="7"/>
  <c r="G34" i="7"/>
  <c r="G50" i="7"/>
  <c r="G37" i="9"/>
  <c r="G40" i="9"/>
  <c r="F38" i="9"/>
  <c r="G35" i="9"/>
  <c r="G41" i="9"/>
  <c r="G36" i="9"/>
  <c r="F99" i="9"/>
  <c r="F10" i="6"/>
  <c r="G36" i="21"/>
  <c r="G40" i="21"/>
  <c r="G8" i="24"/>
  <c r="G10" i="13"/>
  <c r="G9" i="7"/>
  <c r="F47" i="21"/>
  <c r="F48" i="21"/>
  <c r="G45" i="21"/>
  <c r="G22" i="7"/>
  <c r="G35" i="7"/>
  <c r="G51" i="7"/>
  <c r="G47" i="9"/>
  <c r="G50" i="9"/>
  <c r="F48" i="9"/>
  <c r="G45" i="9"/>
  <c r="G51" i="9"/>
  <c r="G46" i="9"/>
  <c r="F100" i="9"/>
  <c r="F11" i="6"/>
  <c r="G46" i="21"/>
  <c r="G50" i="21"/>
  <c r="G9" i="24"/>
  <c r="G11" i="13"/>
  <c r="G10" i="7"/>
  <c r="F57" i="21"/>
  <c r="F58" i="21"/>
  <c r="G55" i="21"/>
  <c r="G23" i="7"/>
  <c r="G36" i="7"/>
  <c r="G52" i="7"/>
  <c r="G57" i="9"/>
  <c r="G60" i="9"/>
  <c r="F58" i="9"/>
  <c r="G55" i="9"/>
  <c r="G61" i="9"/>
  <c r="G56" i="9"/>
  <c r="F101" i="9"/>
  <c r="F12" i="6"/>
  <c r="G56" i="21"/>
  <c r="G60" i="21"/>
  <c r="G10" i="24"/>
  <c r="G12" i="13"/>
  <c r="G11" i="7"/>
  <c r="F67" i="21"/>
  <c r="F68" i="21"/>
  <c r="G65" i="21"/>
  <c r="G24" i="7"/>
  <c r="G37" i="7"/>
  <c r="G53" i="7"/>
  <c r="G67" i="9"/>
  <c r="G70" i="9"/>
  <c r="F68" i="9"/>
  <c r="G65" i="9"/>
  <c r="G71" i="9"/>
  <c r="G66" i="9"/>
  <c r="F102" i="9"/>
  <c r="F13" i="6"/>
  <c r="G66" i="21"/>
  <c r="G70" i="21"/>
  <c r="G11" i="24"/>
  <c r="G13" i="13"/>
  <c r="G12" i="7"/>
  <c r="G25" i="7"/>
  <c r="G38" i="7"/>
  <c r="G54" i="7"/>
  <c r="G77" i="9"/>
  <c r="G80" i="9"/>
  <c r="F78" i="9"/>
  <c r="G75" i="9"/>
  <c r="G81" i="9"/>
  <c r="G76" i="9"/>
  <c r="F103" i="9"/>
  <c r="F14" i="6"/>
  <c r="G76" i="21"/>
  <c r="G80" i="21"/>
  <c r="G12" i="24"/>
  <c r="G14" i="13"/>
  <c r="G13" i="7"/>
  <c r="G26" i="7"/>
  <c r="G39" i="7"/>
  <c r="G55" i="7"/>
  <c r="G87" i="9"/>
  <c r="G90" i="9"/>
  <c r="F88" i="9"/>
  <c r="G85" i="9"/>
  <c r="G91" i="9"/>
  <c r="G86" i="9"/>
  <c r="F104" i="9"/>
  <c r="F15" i="6"/>
  <c r="G86" i="21"/>
  <c r="G90" i="21"/>
  <c r="G13" i="24"/>
  <c r="G15" i="13"/>
  <c r="G14" i="7"/>
  <c r="G14" i="24"/>
  <c r="G16" i="13"/>
  <c r="G21" i="13"/>
  <c r="G18" i="25"/>
  <c r="G19" i="25"/>
  <c r="G20" i="25"/>
  <c r="G25" i="25"/>
  <c r="G7" i="25"/>
  <c r="G34" i="25"/>
  <c r="G22" i="13"/>
  <c r="G131" i="12"/>
  <c r="G132" i="12"/>
  <c r="G133" i="12"/>
  <c r="G134" i="12"/>
  <c r="G135" i="12"/>
  <c r="G136" i="12"/>
  <c r="G137" i="12"/>
  <c r="G138" i="12"/>
  <c r="G139" i="12"/>
  <c r="G141" i="12"/>
  <c r="G8" i="25"/>
  <c r="G35" i="25"/>
  <c r="G23" i="13"/>
  <c r="F58" i="12"/>
  <c r="F87" i="12"/>
  <c r="F56" i="12"/>
  <c r="F85" i="12"/>
  <c r="F53" i="12"/>
  <c r="F82" i="12"/>
  <c r="F54" i="12"/>
  <c r="F83" i="12"/>
  <c r="F43" i="12"/>
  <c r="F72" i="12"/>
  <c r="F44" i="12"/>
  <c r="F73" i="12"/>
  <c r="F45" i="12"/>
  <c r="F74" i="12"/>
  <c r="F46" i="12"/>
  <c r="F75" i="12"/>
  <c r="F47" i="12"/>
  <c r="F76" i="12"/>
  <c r="F48" i="12"/>
  <c r="F77" i="12"/>
  <c r="F49" i="12"/>
  <c r="F78" i="12"/>
  <c r="F50" i="12"/>
  <c r="F79" i="12"/>
  <c r="F51" i="12"/>
  <c r="F80" i="12"/>
  <c r="F40" i="12"/>
  <c r="F69" i="12"/>
  <c r="F41" i="12"/>
  <c r="F70" i="12"/>
  <c r="F37" i="12"/>
  <c r="F66" i="12"/>
  <c r="F38" i="12"/>
  <c r="F67" i="12"/>
  <c r="F89" i="12"/>
  <c r="G9" i="25"/>
  <c r="G36" i="25"/>
  <c r="G24" i="13"/>
  <c r="G10" i="25"/>
  <c r="G37" i="25"/>
  <c r="G25" i="13"/>
  <c r="G26" i="13"/>
  <c r="G28" i="13"/>
  <c r="G6" i="14"/>
  <c r="G10" i="14"/>
  <c r="G7" i="14"/>
  <c r="G34" i="14"/>
  <c r="F17" i="14"/>
  <c r="G14" i="14"/>
  <c r="G47" i="13"/>
  <c r="G48" i="13"/>
  <c r="G49" i="13"/>
  <c r="G19" i="24"/>
  <c r="G36" i="13"/>
  <c r="G20" i="24"/>
  <c r="G37" i="13"/>
  <c r="G21" i="24"/>
  <c r="G38" i="13"/>
  <c r="G22" i="24"/>
  <c r="G39" i="13"/>
  <c r="G23" i="24"/>
  <c r="G40" i="13"/>
  <c r="G24" i="24"/>
  <c r="G41" i="13"/>
  <c r="G25" i="24"/>
  <c r="G42" i="13"/>
  <c r="G26" i="24"/>
  <c r="G43" i="13"/>
  <c r="G27" i="24"/>
  <c r="G44" i="13"/>
  <c r="G27" i="7"/>
  <c r="G28" i="24"/>
  <c r="G45" i="13"/>
  <c r="G50" i="13"/>
  <c r="G26" i="25"/>
  <c r="G42" i="25"/>
  <c r="G51" i="13"/>
  <c r="G43" i="25"/>
  <c r="G52" i="13"/>
  <c r="G44" i="25"/>
  <c r="G53" i="13"/>
  <c r="G45" i="25"/>
  <c r="G54" i="13"/>
  <c r="G55" i="13"/>
  <c r="G57" i="13"/>
  <c r="G15" i="14"/>
  <c r="G19" i="14"/>
  <c r="G16" i="14"/>
  <c r="G35" i="14"/>
  <c r="F26" i="14"/>
  <c r="G23" i="14"/>
  <c r="G76" i="13"/>
  <c r="G77" i="13"/>
  <c r="G78" i="13"/>
  <c r="G33" i="24"/>
  <c r="G65" i="13"/>
  <c r="G34" i="24"/>
  <c r="G66" i="13"/>
  <c r="G35" i="24"/>
  <c r="G67" i="13"/>
  <c r="G36" i="24"/>
  <c r="G68" i="13"/>
  <c r="G37" i="24"/>
  <c r="G69" i="13"/>
  <c r="G38" i="24"/>
  <c r="G70" i="13"/>
  <c r="G39" i="24"/>
  <c r="G71" i="13"/>
  <c r="G40" i="24"/>
  <c r="G72" i="13"/>
  <c r="G41" i="24"/>
  <c r="G73" i="13"/>
  <c r="G40" i="7"/>
  <c r="G42" i="24"/>
  <c r="G74" i="13"/>
  <c r="G79" i="13"/>
  <c r="G27" i="25"/>
  <c r="G50" i="25"/>
  <c r="G80" i="13"/>
  <c r="G51" i="25"/>
  <c r="G81" i="13"/>
  <c r="G52" i="25"/>
  <c r="G82" i="13"/>
  <c r="G53" i="25"/>
  <c r="G83" i="13"/>
  <c r="G84" i="13"/>
  <c r="G86" i="13"/>
  <c r="G24" i="14"/>
  <c r="G28" i="14"/>
  <c r="G25" i="14"/>
  <c r="G36" i="14"/>
  <c r="G38" i="14"/>
  <c r="F14" i="27"/>
  <c r="F15" i="27"/>
  <c r="F18" i="27"/>
  <c r="F6" i="27"/>
  <c r="F10" i="27"/>
  <c r="F7" i="10"/>
  <c r="F17" i="6"/>
  <c r="F8" i="10"/>
  <c r="F11" i="10"/>
  <c r="E16" i="10"/>
  <c r="E18" i="10"/>
  <c r="F15" i="10"/>
  <c r="F17" i="10"/>
  <c r="F20" i="10"/>
  <c r="F31" i="18"/>
  <c r="F32" i="18"/>
  <c r="G31" i="11"/>
  <c r="G7" i="3"/>
  <c r="G14" i="3"/>
  <c r="G21" i="3"/>
  <c r="G30" i="3"/>
  <c r="G8" i="3"/>
  <c r="G15" i="3"/>
  <c r="G22" i="3"/>
  <c r="G31" i="3"/>
  <c r="G9" i="3"/>
  <c r="G16" i="3"/>
  <c r="G23" i="3"/>
  <c r="G32" i="3"/>
  <c r="G34" i="3"/>
  <c r="G5" i="22"/>
  <c r="G6" i="22"/>
  <c r="G12" i="22"/>
  <c r="G7" i="22"/>
  <c r="G8" i="22"/>
  <c r="G13" i="22"/>
  <c r="G14" i="22"/>
  <c r="G15" i="22"/>
  <c r="G9" i="18"/>
  <c r="G11" i="18"/>
  <c r="F5" i="23"/>
  <c r="F7" i="23"/>
  <c r="F12" i="23"/>
  <c r="G13" i="23"/>
  <c r="G24" i="18"/>
  <c r="G25" i="3"/>
  <c r="G7" i="27"/>
  <c r="G8" i="27"/>
  <c r="G25" i="18"/>
  <c r="G28" i="5"/>
  <c r="G29" i="5"/>
  <c r="G30" i="5"/>
  <c r="H9" i="4"/>
  <c r="H12" i="4"/>
  <c r="G10" i="4"/>
  <c r="H7" i="4"/>
  <c r="H13" i="4"/>
  <c r="H8" i="4"/>
  <c r="H39" i="4"/>
  <c r="H31" i="26"/>
  <c r="H9" i="26"/>
  <c r="H54" i="26"/>
  <c r="H77" i="26"/>
  <c r="H100" i="26"/>
  <c r="H123" i="26"/>
  <c r="H19" i="4"/>
  <c r="H22" i="4"/>
  <c r="G20" i="4"/>
  <c r="H17" i="4"/>
  <c r="H23" i="4"/>
  <c r="H18" i="4"/>
  <c r="H40" i="4"/>
  <c r="H37" i="26"/>
  <c r="H15" i="26"/>
  <c r="H60" i="26"/>
  <c r="H83" i="26"/>
  <c r="H106" i="26"/>
  <c r="H129" i="26"/>
  <c r="H29" i="4"/>
  <c r="H32" i="4"/>
  <c r="G30" i="4"/>
  <c r="H27" i="4"/>
  <c r="H33" i="4"/>
  <c r="H28" i="4"/>
  <c r="H41" i="4"/>
  <c r="H44" i="26"/>
  <c r="H22" i="26"/>
  <c r="H67" i="26"/>
  <c r="H90" i="26"/>
  <c r="H113" i="26"/>
  <c r="H136" i="26"/>
  <c r="G7" i="5"/>
  <c r="H32" i="26"/>
  <c r="H10" i="26"/>
  <c r="H55" i="26"/>
  <c r="H78" i="26"/>
  <c r="H101" i="26"/>
  <c r="H124" i="26"/>
  <c r="H38" i="26"/>
  <c r="H16" i="26"/>
  <c r="H61" i="26"/>
  <c r="H84" i="26"/>
  <c r="H107" i="26"/>
  <c r="H130" i="26"/>
  <c r="H45" i="26"/>
  <c r="H23" i="26"/>
  <c r="H68" i="26"/>
  <c r="H91" i="26"/>
  <c r="H114" i="26"/>
  <c r="H137" i="26"/>
  <c r="G8" i="5"/>
  <c r="H33" i="26"/>
  <c r="H11" i="26"/>
  <c r="H56" i="26"/>
  <c r="H79" i="26"/>
  <c r="H102" i="26"/>
  <c r="H125" i="26"/>
  <c r="H39" i="26"/>
  <c r="H17" i="26"/>
  <c r="H62" i="26"/>
  <c r="H85" i="26"/>
  <c r="H108" i="26"/>
  <c r="H131" i="26"/>
  <c r="H46" i="26"/>
  <c r="H24" i="26"/>
  <c r="H69" i="26"/>
  <c r="H92" i="26"/>
  <c r="H115" i="26"/>
  <c r="H138" i="26"/>
  <c r="G9" i="5"/>
  <c r="G10" i="5"/>
  <c r="G15" i="5"/>
  <c r="G16" i="5"/>
  <c r="G17" i="5"/>
  <c r="G18" i="5"/>
  <c r="G19" i="5"/>
  <c r="G20" i="5"/>
  <c r="G22" i="5"/>
  <c r="G31" i="5"/>
  <c r="G32" i="5"/>
  <c r="G33" i="5"/>
  <c r="G34" i="5"/>
  <c r="G26" i="18"/>
  <c r="G41" i="5"/>
  <c r="G42" i="5"/>
  <c r="G43" i="5"/>
  <c r="G44" i="5"/>
  <c r="G27" i="18"/>
  <c r="G29" i="18"/>
  <c r="G9" i="22"/>
  <c r="G8" i="14"/>
  <c r="H5" i="14"/>
  <c r="H18" i="13"/>
  <c r="H19" i="13"/>
  <c r="H20" i="13"/>
  <c r="H5" i="7"/>
  <c r="G7" i="21"/>
  <c r="G8" i="21"/>
  <c r="H5" i="21"/>
  <c r="H18" i="7"/>
  <c r="H31" i="7"/>
  <c r="H47" i="7"/>
  <c r="H7" i="9"/>
  <c r="H10" i="9"/>
  <c r="G8" i="9"/>
  <c r="H5" i="9"/>
  <c r="H11" i="9"/>
  <c r="H6" i="9"/>
  <c r="G96" i="9"/>
  <c r="G7" i="6"/>
  <c r="H6" i="21"/>
  <c r="H10" i="21"/>
  <c r="H5" i="24"/>
  <c r="H7" i="13"/>
  <c r="H6" i="7"/>
  <c r="G17" i="21"/>
  <c r="G18" i="21"/>
  <c r="H15" i="21"/>
  <c r="H19" i="7"/>
  <c r="H32" i="7"/>
  <c r="H48" i="7"/>
  <c r="H17" i="9"/>
  <c r="H20" i="9"/>
  <c r="G18" i="9"/>
  <c r="H15" i="9"/>
  <c r="H21" i="9"/>
  <c r="H16" i="9"/>
  <c r="G97" i="9"/>
  <c r="G8" i="6"/>
  <c r="H16" i="21"/>
  <c r="H20" i="21"/>
  <c r="H6" i="24"/>
  <c r="H8" i="13"/>
  <c r="H7" i="7"/>
  <c r="G27" i="21"/>
  <c r="G28" i="21"/>
  <c r="H25" i="21"/>
  <c r="H20" i="7"/>
  <c r="H33" i="7"/>
  <c r="H49" i="7"/>
  <c r="H27" i="9"/>
  <c r="H30" i="9"/>
  <c r="G28" i="9"/>
  <c r="H25" i="9"/>
  <c r="H31" i="9"/>
  <c r="H26" i="9"/>
  <c r="G98" i="9"/>
  <c r="G9" i="6"/>
  <c r="H26" i="21"/>
  <c r="H30" i="21"/>
  <c r="H7" i="24"/>
  <c r="H9" i="13"/>
  <c r="H8" i="7"/>
  <c r="G37" i="21"/>
  <c r="G38" i="21"/>
  <c r="H35" i="21"/>
  <c r="H21" i="7"/>
  <c r="H34" i="7"/>
  <c r="H50" i="7"/>
  <c r="H37" i="9"/>
  <c r="H40" i="9"/>
  <c r="G38" i="9"/>
  <c r="H35" i="9"/>
  <c r="H41" i="9"/>
  <c r="H36" i="9"/>
  <c r="G99" i="9"/>
  <c r="G10" i="6"/>
  <c r="H36" i="21"/>
  <c r="H40" i="21"/>
  <c r="H8" i="24"/>
  <c r="H10" i="13"/>
  <c r="H9" i="7"/>
  <c r="G47" i="21"/>
  <c r="G48" i="21"/>
  <c r="H45" i="21"/>
  <c r="H22" i="7"/>
  <c r="H35" i="7"/>
  <c r="H51" i="7"/>
  <c r="H47" i="9"/>
  <c r="H50" i="9"/>
  <c r="G48" i="9"/>
  <c r="H45" i="9"/>
  <c r="H51" i="9"/>
  <c r="H46" i="9"/>
  <c r="G100" i="9"/>
  <c r="G11" i="6"/>
  <c r="H46" i="21"/>
  <c r="H50" i="21"/>
  <c r="H9" i="24"/>
  <c r="H11" i="13"/>
  <c r="H10" i="7"/>
  <c r="G57" i="21"/>
  <c r="G58" i="21"/>
  <c r="H55" i="21"/>
  <c r="H23" i="7"/>
  <c r="H36" i="7"/>
  <c r="H52" i="7"/>
  <c r="H57" i="9"/>
  <c r="H60" i="9"/>
  <c r="G58" i="9"/>
  <c r="H55" i="9"/>
  <c r="H61" i="9"/>
  <c r="H56" i="9"/>
  <c r="G101" i="9"/>
  <c r="G12" i="6"/>
  <c r="H56" i="21"/>
  <c r="H60" i="21"/>
  <c r="H10" i="24"/>
  <c r="H12" i="13"/>
  <c r="H11" i="7"/>
  <c r="G67" i="21"/>
  <c r="G68" i="21"/>
  <c r="H65" i="21"/>
  <c r="H24" i="7"/>
  <c r="H37" i="7"/>
  <c r="H53" i="7"/>
  <c r="H67" i="9"/>
  <c r="H70" i="9"/>
  <c r="G68" i="9"/>
  <c r="H65" i="9"/>
  <c r="H71" i="9"/>
  <c r="H66" i="9"/>
  <c r="G102" i="9"/>
  <c r="G13" i="6"/>
  <c r="H66" i="21"/>
  <c r="H70" i="21"/>
  <c r="H11" i="24"/>
  <c r="H13" i="13"/>
  <c r="H12" i="7"/>
  <c r="H25" i="7"/>
  <c r="H38" i="7"/>
  <c r="H54" i="7"/>
  <c r="H77" i="9"/>
  <c r="H80" i="9"/>
  <c r="G78" i="9"/>
  <c r="H75" i="9"/>
  <c r="H81" i="9"/>
  <c r="H76" i="9"/>
  <c r="G103" i="9"/>
  <c r="G14" i="6"/>
  <c r="H76" i="21"/>
  <c r="H80" i="21"/>
  <c r="H12" i="24"/>
  <c r="H14" i="13"/>
  <c r="H13" i="7"/>
  <c r="H26" i="7"/>
  <c r="H39" i="7"/>
  <c r="H55" i="7"/>
  <c r="H87" i="9"/>
  <c r="H90" i="9"/>
  <c r="G88" i="9"/>
  <c r="H85" i="9"/>
  <c r="H91" i="9"/>
  <c r="H86" i="9"/>
  <c r="G104" i="9"/>
  <c r="G15" i="6"/>
  <c r="H86" i="21"/>
  <c r="H90" i="21"/>
  <c r="H13" i="24"/>
  <c r="H15" i="13"/>
  <c r="H14" i="7"/>
  <c r="H14" i="24"/>
  <c r="H16" i="13"/>
  <c r="H21" i="13"/>
  <c r="H18" i="25"/>
  <c r="H19" i="25"/>
  <c r="H20" i="25"/>
  <c r="H25" i="25"/>
  <c r="H7" i="25"/>
  <c r="H34" i="25"/>
  <c r="H22" i="13"/>
  <c r="H131" i="12"/>
  <c r="H132" i="12"/>
  <c r="H133" i="12"/>
  <c r="H134" i="12"/>
  <c r="H135" i="12"/>
  <c r="H136" i="12"/>
  <c r="H137" i="12"/>
  <c r="H138" i="12"/>
  <c r="H139" i="12"/>
  <c r="H141" i="12"/>
  <c r="H8" i="25"/>
  <c r="H35" i="25"/>
  <c r="H23" i="13"/>
  <c r="G58" i="12"/>
  <c r="G87" i="12"/>
  <c r="G56" i="12"/>
  <c r="G85" i="12"/>
  <c r="G53" i="12"/>
  <c r="G82" i="12"/>
  <c r="G54" i="12"/>
  <c r="G83" i="12"/>
  <c r="G43" i="12"/>
  <c r="G72" i="12"/>
  <c r="G44" i="12"/>
  <c r="G73" i="12"/>
  <c r="G45" i="12"/>
  <c r="G74" i="12"/>
  <c r="G46" i="12"/>
  <c r="G75" i="12"/>
  <c r="G47" i="12"/>
  <c r="G76" i="12"/>
  <c r="G48" i="12"/>
  <c r="G77" i="12"/>
  <c r="G49" i="12"/>
  <c r="G78" i="12"/>
  <c r="G50" i="12"/>
  <c r="G79" i="12"/>
  <c r="G51" i="12"/>
  <c r="G80" i="12"/>
  <c r="G40" i="12"/>
  <c r="G69" i="12"/>
  <c r="G41" i="12"/>
  <c r="G70" i="12"/>
  <c r="G37" i="12"/>
  <c r="G66" i="12"/>
  <c r="G38" i="12"/>
  <c r="G67" i="12"/>
  <c r="G89" i="12"/>
  <c r="H9" i="25"/>
  <c r="H36" i="25"/>
  <c r="H24" i="13"/>
  <c r="H10" i="25"/>
  <c r="H37" i="25"/>
  <c r="H25" i="13"/>
  <c r="H26" i="13"/>
  <c r="H28" i="13"/>
  <c r="H6" i="14"/>
  <c r="H10" i="14"/>
  <c r="H7" i="14"/>
  <c r="H34" i="14"/>
  <c r="G17" i="14"/>
  <c r="H14" i="14"/>
  <c r="H47" i="13"/>
  <c r="H48" i="13"/>
  <c r="H49" i="13"/>
  <c r="H19" i="24"/>
  <c r="H36" i="13"/>
  <c r="H20" i="24"/>
  <c r="H37" i="13"/>
  <c r="H21" i="24"/>
  <c r="H38" i="13"/>
  <c r="H22" i="24"/>
  <c r="H39" i="13"/>
  <c r="H23" i="24"/>
  <c r="H40" i="13"/>
  <c r="H24" i="24"/>
  <c r="H41" i="13"/>
  <c r="H25" i="24"/>
  <c r="H42" i="13"/>
  <c r="H26" i="24"/>
  <c r="H43" i="13"/>
  <c r="H27" i="24"/>
  <c r="H44" i="13"/>
  <c r="H27" i="7"/>
  <c r="H28" i="24"/>
  <c r="H45" i="13"/>
  <c r="H50" i="13"/>
  <c r="H26" i="25"/>
  <c r="H42" i="25"/>
  <c r="H51" i="13"/>
  <c r="H43" i="25"/>
  <c r="H52" i="13"/>
  <c r="H44" i="25"/>
  <c r="H53" i="13"/>
  <c r="H45" i="25"/>
  <c r="H54" i="13"/>
  <c r="H55" i="13"/>
  <c r="H57" i="13"/>
  <c r="H15" i="14"/>
  <c r="H19" i="14"/>
  <c r="H16" i="14"/>
  <c r="H35" i="14"/>
  <c r="G26" i="14"/>
  <c r="H23" i="14"/>
  <c r="H76" i="13"/>
  <c r="H77" i="13"/>
  <c r="H78" i="13"/>
  <c r="H33" i="24"/>
  <c r="H65" i="13"/>
  <c r="H34" i="24"/>
  <c r="H66" i="13"/>
  <c r="H35" i="24"/>
  <c r="H67" i="13"/>
  <c r="H36" i="24"/>
  <c r="H68" i="13"/>
  <c r="H37" i="24"/>
  <c r="H69" i="13"/>
  <c r="H38" i="24"/>
  <c r="H70" i="13"/>
  <c r="H39" i="24"/>
  <c r="H71" i="13"/>
  <c r="H40" i="24"/>
  <c r="H72" i="13"/>
  <c r="H41" i="24"/>
  <c r="H73" i="13"/>
  <c r="H40" i="7"/>
  <c r="H42" i="24"/>
  <c r="H74" i="13"/>
  <c r="H79" i="13"/>
  <c r="H27" i="25"/>
  <c r="H50" i="25"/>
  <c r="H80" i="13"/>
  <c r="H51" i="25"/>
  <c r="H81" i="13"/>
  <c r="H52" i="25"/>
  <c r="H82" i="13"/>
  <c r="H53" i="25"/>
  <c r="H83" i="13"/>
  <c r="H84" i="13"/>
  <c r="H86" i="13"/>
  <c r="H24" i="14"/>
  <c r="H28" i="14"/>
  <c r="H25" i="14"/>
  <c r="H36" i="14"/>
  <c r="H38" i="14"/>
  <c r="G14" i="27"/>
  <c r="G15" i="27"/>
  <c r="G18" i="27"/>
  <c r="G6" i="27"/>
  <c r="G10" i="27"/>
  <c r="G7" i="10"/>
  <c r="G17" i="6"/>
  <c r="G8" i="10"/>
  <c r="G11" i="10"/>
  <c r="F16" i="10"/>
  <c r="F18" i="10"/>
  <c r="G15" i="10"/>
  <c r="G17" i="10"/>
  <c r="G20" i="10"/>
  <c r="G31" i="18"/>
  <c r="G32" i="18"/>
  <c r="H31" i="11"/>
  <c r="H7" i="3"/>
  <c r="H14" i="3"/>
  <c r="H21" i="3"/>
  <c r="H30" i="3"/>
  <c r="H8" i="3"/>
  <c r="H15" i="3"/>
  <c r="H22" i="3"/>
  <c r="H31" i="3"/>
  <c r="H9" i="3"/>
  <c r="H16" i="3"/>
  <c r="H23" i="3"/>
  <c r="H32" i="3"/>
  <c r="H34" i="3"/>
  <c r="H5" i="22"/>
  <c r="H6" i="22"/>
  <c r="H12" i="22"/>
  <c r="H7" i="22"/>
  <c r="H8" i="22"/>
  <c r="H13" i="22"/>
  <c r="H14" i="22"/>
  <c r="H15" i="22"/>
  <c r="H9" i="18"/>
  <c r="H11" i="18"/>
  <c r="G5" i="23"/>
  <c r="G7" i="23"/>
  <c r="G12" i="23"/>
  <c r="H13" i="23"/>
  <c r="H24" i="18"/>
  <c r="H25" i="3"/>
  <c r="H7" i="27"/>
  <c r="H8" i="27"/>
  <c r="H25" i="18"/>
  <c r="H28" i="5"/>
  <c r="H29" i="5"/>
  <c r="H30" i="5"/>
  <c r="I9" i="4"/>
  <c r="I12" i="4"/>
  <c r="H10" i="4"/>
  <c r="I7" i="4"/>
  <c r="I13" i="4"/>
  <c r="I8" i="4"/>
  <c r="I39" i="4"/>
  <c r="I31" i="26"/>
  <c r="I9" i="26"/>
  <c r="I54" i="26"/>
  <c r="I77" i="26"/>
  <c r="I100" i="26"/>
  <c r="I123" i="26"/>
  <c r="I19" i="4"/>
  <c r="I22" i="4"/>
  <c r="H20" i="4"/>
  <c r="I17" i="4"/>
  <c r="I23" i="4"/>
  <c r="I18" i="4"/>
  <c r="I40" i="4"/>
  <c r="I37" i="26"/>
  <c r="I15" i="26"/>
  <c r="I60" i="26"/>
  <c r="I83" i="26"/>
  <c r="I106" i="26"/>
  <c r="I129" i="26"/>
  <c r="I29" i="4"/>
  <c r="I32" i="4"/>
  <c r="H30" i="4"/>
  <c r="I27" i="4"/>
  <c r="I33" i="4"/>
  <c r="I28" i="4"/>
  <c r="I41" i="4"/>
  <c r="I44" i="26"/>
  <c r="I22" i="26"/>
  <c r="I67" i="26"/>
  <c r="I90" i="26"/>
  <c r="I113" i="26"/>
  <c r="I136" i="26"/>
  <c r="H7" i="5"/>
  <c r="I32" i="26"/>
  <c r="I10" i="26"/>
  <c r="I55" i="26"/>
  <c r="I78" i="26"/>
  <c r="I101" i="26"/>
  <c r="I124" i="26"/>
  <c r="I38" i="26"/>
  <c r="I16" i="26"/>
  <c r="I61" i="26"/>
  <c r="I84" i="26"/>
  <c r="I107" i="26"/>
  <c r="I130" i="26"/>
  <c r="I45" i="26"/>
  <c r="I23" i="26"/>
  <c r="I68" i="26"/>
  <c r="I91" i="26"/>
  <c r="I114" i="26"/>
  <c r="I137" i="26"/>
  <c r="H8" i="5"/>
  <c r="I33" i="26"/>
  <c r="I11" i="26"/>
  <c r="I56" i="26"/>
  <c r="I79" i="26"/>
  <c r="I102" i="26"/>
  <c r="I125" i="26"/>
  <c r="I39" i="26"/>
  <c r="I17" i="26"/>
  <c r="I62" i="26"/>
  <c r="I85" i="26"/>
  <c r="I108" i="26"/>
  <c r="I131" i="26"/>
  <c r="I46" i="26"/>
  <c r="I24" i="26"/>
  <c r="I69" i="26"/>
  <c r="I92" i="26"/>
  <c r="I115" i="26"/>
  <c r="I138" i="26"/>
  <c r="H9" i="5"/>
  <c r="H10" i="5"/>
  <c r="H15" i="5"/>
  <c r="H16" i="5"/>
  <c r="H17" i="5"/>
  <c r="H18" i="5"/>
  <c r="H19" i="5"/>
  <c r="H20" i="5"/>
  <c r="H22" i="5"/>
  <c r="H31" i="5"/>
  <c r="H32" i="5"/>
  <c r="H33" i="5"/>
  <c r="H34" i="5"/>
  <c r="H26" i="18"/>
  <c r="H41" i="5"/>
  <c r="H42" i="5"/>
  <c r="H43" i="5"/>
  <c r="H44" i="5"/>
  <c r="H27" i="18"/>
  <c r="H29" i="18"/>
  <c r="H9" i="22"/>
  <c r="H8" i="14"/>
  <c r="I5" i="14"/>
  <c r="I18" i="13"/>
  <c r="I19" i="13"/>
  <c r="I20" i="13"/>
  <c r="I5" i="7"/>
  <c r="H7" i="21"/>
  <c r="H8" i="21"/>
  <c r="I5" i="21"/>
  <c r="I18" i="7"/>
  <c r="I31" i="7"/>
  <c r="I47" i="7"/>
  <c r="I7" i="9"/>
  <c r="I10" i="9"/>
  <c r="H8" i="9"/>
  <c r="I5" i="9"/>
  <c r="I11" i="9"/>
  <c r="I6" i="9"/>
  <c r="H96" i="9"/>
  <c r="H7" i="6"/>
  <c r="I6" i="21"/>
  <c r="I10" i="21"/>
  <c r="I5" i="24"/>
  <c r="I7" i="13"/>
  <c r="I6" i="7"/>
  <c r="H17" i="21"/>
  <c r="H18" i="21"/>
  <c r="I15" i="21"/>
  <c r="I19" i="7"/>
  <c r="I32" i="7"/>
  <c r="I48" i="7"/>
  <c r="I17" i="9"/>
  <c r="I20" i="9"/>
  <c r="H18" i="9"/>
  <c r="I15" i="9"/>
  <c r="I21" i="9"/>
  <c r="I16" i="9"/>
  <c r="H97" i="9"/>
  <c r="H8" i="6"/>
  <c r="I16" i="21"/>
  <c r="I20" i="21"/>
  <c r="I6" i="24"/>
  <c r="I8" i="13"/>
  <c r="I7" i="7"/>
  <c r="H27" i="21"/>
  <c r="H28" i="21"/>
  <c r="I25" i="21"/>
  <c r="I20" i="7"/>
  <c r="I33" i="7"/>
  <c r="I49" i="7"/>
  <c r="I27" i="9"/>
  <c r="I30" i="9"/>
  <c r="H28" i="9"/>
  <c r="I25" i="9"/>
  <c r="I31" i="9"/>
  <c r="I26" i="9"/>
  <c r="H98" i="9"/>
  <c r="H9" i="6"/>
  <c r="I26" i="21"/>
  <c r="I30" i="21"/>
  <c r="I7" i="24"/>
  <c r="I9" i="13"/>
  <c r="I8" i="7"/>
  <c r="H37" i="21"/>
  <c r="H38" i="21"/>
  <c r="I35" i="21"/>
  <c r="I21" i="7"/>
  <c r="I34" i="7"/>
  <c r="I50" i="7"/>
  <c r="I37" i="9"/>
  <c r="I40" i="9"/>
  <c r="H38" i="9"/>
  <c r="I35" i="9"/>
  <c r="I41" i="9"/>
  <c r="I36" i="9"/>
  <c r="H99" i="9"/>
  <c r="H10" i="6"/>
  <c r="I36" i="21"/>
  <c r="I40" i="21"/>
  <c r="I8" i="24"/>
  <c r="I10" i="13"/>
  <c r="I9" i="7"/>
  <c r="H47" i="21"/>
  <c r="H48" i="21"/>
  <c r="I45" i="21"/>
  <c r="I22" i="7"/>
  <c r="I35" i="7"/>
  <c r="I51" i="7"/>
  <c r="I47" i="9"/>
  <c r="I50" i="9"/>
  <c r="H48" i="9"/>
  <c r="I45" i="9"/>
  <c r="I51" i="9"/>
  <c r="I46" i="9"/>
  <c r="H100" i="9"/>
  <c r="H11" i="6"/>
  <c r="I46" i="21"/>
  <c r="I50" i="21"/>
  <c r="I9" i="24"/>
  <c r="I11" i="13"/>
  <c r="I10" i="7"/>
  <c r="H57" i="21"/>
  <c r="H58" i="21"/>
  <c r="I55" i="21"/>
  <c r="I23" i="7"/>
  <c r="I36" i="7"/>
  <c r="I52" i="7"/>
  <c r="I57" i="9"/>
  <c r="I60" i="9"/>
  <c r="H58" i="9"/>
  <c r="I55" i="9"/>
  <c r="I61" i="9"/>
  <c r="I56" i="9"/>
  <c r="H101" i="9"/>
  <c r="H12" i="6"/>
  <c r="I56" i="21"/>
  <c r="I60" i="21"/>
  <c r="I10" i="24"/>
  <c r="I12" i="13"/>
  <c r="I11" i="7"/>
  <c r="H67" i="21"/>
  <c r="H68" i="21"/>
  <c r="I65" i="21"/>
  <c r="I24" i="7"/>
  <c r="I37" i="7"/>
  <c r="I53" i="7"/>
  <c r="I67" i="9"/>
  <c r="I70" i="9"/>
  <c r="H68" i="9"/>
  <c r="I65" i="9"/>
  <c r="I71" i="9"/>
  <c r="I66" i="9"/>
  <c r="H102" i="9"/>
  <c r="H13" i="6"/>
  <c r="I66" i="21"/>
  <c r="I70" i="21"/>
  <c r="I11" i="24"/>
  <c r="I13" i="13"/>
  <c r="I12" i="7"/>
  <c r="I25" i="7"/>
  <c r="I38" i="7"/>
  <c r="I54" i="7"/>
  <c r="I77" i="9"/>
  <c r="I80" i="9"/>
  <c r="H78" i="9"/>
  <c r="I75" i="9"/>
  <c r="I81" i="9"/>
  <c r="I76" i="9"/>
  <c r="H103" i="9"/>
  <c r="H14" i="6"/>
  <c r="I76" i="21"/>
  <c r="I80" i="21"/>
  <c r="I12" i="24"/>
  <c r="I14" i="13"/>
  <c r="I13" i="7"/>
  <c r="I26" i="7"/>
  <c r="I39" i="7"/>
  <c r="I55" i="7"/>
  <c r="I87" i="9"/>
  <c r="I90" i="9"/>
  <c r="H88" i="9"/>
  <c r="I85" i="9"/>
  <c r="I91" i="9"/>
  <c r="I86" i="9"/>
  <c r="H104" i="9"/>
  <c r="H15" i="6"/>
  <c r="I86" i="21"/>
  <c r="I90" i="21"/>
  <c r="I13" i="24"/>
  <c r="I15" i="13"/>
  <c r="I14" i="7"/>
  <c r="I14" i="24"/>
  <c r="I16" i="13"/>
  <c r="I21" i="13"/>
  <c r="I18" i="25"/>
  <c r="I19" i="25"/>
  <c r="I20" i="25"/>
  <c r="I25" i="25"/>
  <c r="I7" i="25"/>
  <c r="I34" i="25"/>
  <c r="I22" i="13"/>
  <c r="I131" i="12"/>
  <c r="I132" i="12"/>
  <c r="I133" i="12"/>
  <c r="I134" i="12"/>
  <c r="I135" i="12"/>
  <c r="I136" i="12"/>
  <c r="I137" i="12"/>
  <c r="I138" i="12"/>
  <c r="I139" i="12"/>
  <c r="I141" i="12"/>
  <c r="I8" i="25"/>
  <c r="I35" i="25"/>
  <c r="I23" i="13"/>
  <c r="H58" i="12"/>
  <c r="H87" i="12"/>
  <c r="H56" i="12"/>
  <c r="H85" i="12"/>
  <c r="H53" i="12"/>
  <c r="H82" i="12"/>
  <c r="H54" i="12"/>
  <c r="H83" i="12"/>
  <c r="H43" i="12"/>
  <c r="H72" i="12"/>
  <c r="H44" i="12"/>
  <c r="H73" i="12"/>
  <c r="H45" i="12"/>
  <c r="H74" i="12"/>
  <c r="H46" i="12"/>
  <c r="H75" i="12"/>
  <c r="H47" i="12"/>
  <c r="H76" i="12"/>
  <c r="H48" i="12"/>
  <c r="H77" i="12"/>
  <c r="H49" i="12"/>
  <c r="H78" i="12"/>
  <c r="H50" i="12"/>
  <c r="H79" i="12"/>
  <c r="H51" i="12"/>
  <c r="H80" i="12"/>
  <c r="H40" i="12"/>
  <c r="H69" i="12"/>
  <c r="H41" i="12"/>
  <c r="H70" i="12"/>
  <c r="H37" i="12"/>
  <c r="H66" i="12"/>
  <c r="H38" i="12"/>
  <c r="H67" i="12"/>
  <c r="H89" i="12"/>
  <c r="I9" i="25"/>
  <c r="I36" i="25"/>
  <c r="I24" i="13"/>
  <c r="I10" i="25"/>
  <c r="I37" i="25"/>
  <c r="I25" i="13"/>
  <c r="I26" i="13"/>
  <c r="I28" i="13"/>
  <c r="I6" i="14"/>
  <c r="I10" i="14"/>
  <c r="I7" i="14"/>
  <c r="I34" i="14"/>
  <c r="H17" i="14"/>
  <c r="I14" i="14"/>
  <c r="I47" i="13"/>
  <c r="I48" i="13"/>
  <c r="I49" i="13"/>
  <c r="I19" i="24"/>
  <c r="I36" i="13"/>
  <c r="I20" i="24"/>
  <c r="I37" i="13"/>
  <c r="I21" i="24"/>
  <c r="I38" i="13"/>
  <c r="I22" i="24"/>
  <c r="I39" i="13"/>
  <c r="I23" i="24"/>
  <c r="I40" i="13"/>
  <c r="I24" i="24"/>
  <c r="I41" i="13"/>
  <c r="I25" i="24"/>
  <c r="I42" i="13"/>
  <c r="I26" i="24"/>
  <c r="I43" i="13"/>
  <c r="I27" i="24"/>
  <c r="I44" i="13"/>
  <c r="I27" i="7"/>
  <c r="I28" i="24"/>
  <c r="I45" i="13"/>
  <c r="I50" i="13"/>
  <c r="I26" i="25"/>
  <c r="I42" i="25"/>
  <c r="I51" i="13"/>
  <c r="I43" i="25"/>
  <c r="I52" i="13"/>
  <c r="I44" i="25"/>
  <c r="I53" i="13"/>
  <c r="I45" i="25"/>
  <c r="I54" i="13"/>
  <c r="I55" i="13"/>
  <c r="I57" i="13"/>
  <c r="I15" i="14"/>
  <c r="I19" i="14"/>
  <c r="I16" i="14"/>
  <c r="I35" i="14"/>
  <c r="H26" i="14"/>
  <c r="I23" i="14"/>
  <c r="I76" i="13"/>
  <c r="I77" i="13"/>
  <c r="I78" i="13"/>
  <c r="I33" i="24"/>
  <c r="I65" i="13"/>
  <c r="I34" i="24"/>
  <c r="I66" i="13"/>
  <c r="I35" i="24"/>
  <c r="I67" i="13"/>
  <c r="I36" i="24"/>
  <c r="I68" i="13"/>
  <c r="I37" i="24"/>
  <c r="I69" i="13"/>
  <c r="I38" i="24"/>
  <c r="I70" i="13"/>
  <c r="I39" i="24"/>
  <c r="I71" i="13"/>
  <c r="I40" i="24"/>
  <c r="I72" i="13"/>
  <c r="I41" i="24"/>
  <c r="I73" i="13"/>
  <c r="I40" i="7"/>
  <c r="I42" i="24"/>
  <c r="I74" i="13"/>
  <c r="I79" i="13"/>
  <c r="I27" i="25"/>
  <c r="I50" i="25"/>
  <c r="I80" i="13"/>
  <c r="I51" i="25"/>
  <c r="I81" i="13"/>
  <c r="I52" i="25"/>
  <c r="I82" i="13"/>
  <c r="I53" i="25"/>
  <c r="I83" i="13"/>
  <c r="I84" i="13"/>
  <c r="I86" i="13"/>
  <c r="I24" i="14"/>
  <c r="I28" i="14"/>
  <c r="I25" i="14"/>
  <c r="I36" i="14"/>
  <c r="I38" i="14"/>
  <c r="H14" i="27"/>
  <c r="H15" i="27"/>
  <c r="H18" i="27"/>
  <c r="H6" i="27"/>
  <c r="H10" i="27"/>
  <c r="H7" i="10"/>
  <c r="H17" i="6"/>
  <c r="H8" i="10"/>
  <c r="H11" i="10"/>
  <c r="G16" i="10"/>
  <c r="G18" i="10"/>
  <c r="H15" i="10"/>
  <c r="H17" i="10"/>
  <c r="H20" i="10"/>
  <c r="H31" i="18"/>
  <c r="H32" i="18"/>
  <c r="I31" i="11"/>
  <c r="I7" i="3"/>
  <c r="I14" i="3"/>
  <c r="I21" i="3"/>
  <c r="I30" i="3"/>
  <c r="I8" i="3"/>
  <c r="I15" i="3"/>
  <c r="I22" i="3"/>
  <c r="I31" i="3"/>
  <c r="I9" i="3"/>
  <c r="I16" i="3"/>
  <c r="I23" i="3"/>
  <c r="I32" i="3"/>
  <c r="I34" i="3"/>
  <c r="I5" i="22"/>
  <c r="I6" i="22"/>
  <c r="I12" i="22"/>
  <c r="I7" i="22"/>
  <c r="I8" i="22"/>
  <c r="I13" i="22"/>
  <c r="I14" i="22"/>
  <c r="I15" i="22"/>
  <c r="I9" i="18"/>
  <c r="I11" i="18"/>
  <c r="H5" i="23"/>
  <c r="H7" i="23"/>
  <c r="H12" i="23"/>
  <c r="I13" i="23"/>
  <c r="I24" i="18"/>
  <c r="I25" i="3"/>
  <c r="I7" i="27"/>
  <c r="I8" i="27"/>
  <c r="I25" i="18"/>
  <c r="I28" i="5"/>
  <c r="I29" i="5"/>
  <c r="I30" i="5"/>
  <c r="J9" i="4"/>
  <c r="J12" i="4"/>
  <c r="I10" i="4"/>
  <c r="J7" i="4"/>
  <c r="J13" i="4"/>
  <c r="J8" i="4"/>
  <c r="J39" i="4"/>
  <c r="J31" i="26"/>
  <c r="J9" i="26"/>
  <c r="J54" i="26"/>
  <c r="J77" i="26"/>
  <c r="J100" i="26"/>
  <c r="J123" i="26"/>
  <c r="J19" i="4"/>
  <c r="J22" i="4"/>
  <c r="I20" i="4"/>
  <c r="J17" i="4"/>
  <c r="J23" i="4"/>
  <c r="J18" i="4"/>
  <c r="J40" i="4"/>
  <c r="J37" i="26"/>
  <c r="J15" i="26"/>
  <c r="J60" i="26"/>
  <c r="J83" i="26"/>
  <c r="J106" i="26"/>
  <c r="J129" i="26"/>
  <c r="J29" i="4"/>
  <c r="J32" i="4"/>
  <c r="I30" i="4"/>
  <c r="J27" i="4"/>
  <c r="J33" i="4"/>
  <c r="J28" i="4"/>
  <c r="J41" i="4"/>
  <c r="J44" i="26"/>
  <c r="J22" i="26"/>
  <c r="J67" i="26"/>
  <c r="J90" i="26"/>
  <c r="J113" i="26"/>
  <c r="J136" i="26"/>
  <c r="I7" i="5"/>
  <c r="J32" i="26"/>
  <c r="J10" i="26"/>
  <c r="J55" i="26"/>
  <c r="J78" i="26"/>
  <c r="J101" i="26"/>
  <c r="J124" i="26"/>
  <c r="J38" i="26"/>
  <c r="J16" i="26"/>
  <c r="J61" i="26"/>
  <c r="J84" i="26"/>
  <c r="J107" i="26"/>
  <c r="J130" i="26"/>
  <c r="J45" i="26"/>
  <c r="J23" i="26"/>
  <c r="J68" i="26"/>
  <c r="J91" i="26"/>
  <c r="J114" i="26"/>
  <c r="J137" i="26"/>
  <c r="I8" i="5"/>
  <c r="J33" i="26"/>
  <c r="J11" i="26"/>
  <c r="J56" i="26"/>
  <c r="J79" i="26"/>
  <c r="J102" i="26"/>
  <c r="J125" i="26"/>
  <c r="J39" i="26"/>
  <c r="J17" i="26"/>
  <c r="J62" i="26"/>
  <c r="J85" i="26"/>
  <c r="J108" i="26"/>
  <c r="J131" i="26"/>
  <c r="J46" i="26"/>
  <c r="J24" i="26"/>
  <c r="J69" i="26"/>
  <c r="J92" i="26"/>
  <c r="J115" i="26"/>
  <c r="J138" i="26"/>
  <c r="I9" i="5"/>
  <c r="I10" i="5"/>
  <c r="I15" i="5"/>
  <c r="I16" i="5"/>
  <c r="I17" i="5"/>
  <c r="I18" i="5"/>
  <c r="I19" i="5"/>
  <c r="I20" i="5"/>
  <c r="I22" i="5"/>
  <c r="I31" i="5"/>
  <c r="I32" i="5"/>
  <c r="I33" i="5"/>
  <c r="I34" i="5"/>
  <c r="I26" i="18"/>
  <c r="I41" i="5"/>
  <c r="I42" i="5"/>
  <c r="I43" i="5"/>
  <c r="I44" i="5"/>
  <c r="I27" i="18"/>
  <c r="I29" i="18"/>
  <c r="I9" i="22"/>
  <c r="I8" i="14"/>
  <c r="J5" i="14"/>
  <c r="J18" i="13"/>
  <c r="J19" i="13"/>
  <c r="J20" i="13"/>
  <c r="J5" i="7"/>
  <c r="I7" i="21"/>
  <c r="I8" i="21"/>
  <c r="J5" i="21"/>
  <c r="J18" i="7"/>
  <c r="J31" i="7"/>
  <c r="J47" i="7"/>
  <c r="J7" i="9"/>
  <c r="J10" i="9"/>
  <c r="I8" i="9"/>
  <c r="J5" i="9"/>
  <c r="J11" i="9"/>
  <c r="J6" i="9"/>
  <c r="I96" i="9"/>
  <c r="I7" i="6"/>
  <c r="J6" i="21"/>
  <c r="J10" i="21"/>
  <c r="J5" i="24"/>
  <c r="J7" i="13"/>
  <c r="J6" i="7"/>
  <c r="I17" i="21"/>
  <c r="I18" i="21"/>
  <c r="J15" i="21"/>
  <c r="J19" i="7"/>
  <c r="J32" i="7"/>
  <c r="J48" i="7"/>
  <c r="J17" i="9"/>
  <c r="J20" i="9"/>
  <c r="I18" i="9"/>
  <c r="J15" i="9"/>
  <c r="J21" i="9"/>
  <c r="J16" i="9"/>
  <c r="I97" i="9"/>
  <c r="I8" i="6"/>
  <c r="J16" i="21"/>
  <c r="J20" i="21"/>
  <c r="J6" i="24"/>
  <c r="J8" i="13"/>
  <c r="J7" i="7"/>
  <c r="I27" i="21"/>
  <c r="I28" i="21"/>
  <c r="J25" i="21"/>
  <c r="J20" i="7"/>
  <c r="J33" i="7"/>
  <c r="J49" i="7"/>
  <c r="J27" i="9"/>
  <c r="J30" i="9"/>
  <c r="I28" i="9"/>
  <c r="J25" i="9"/>
  <c r="J31" i="9"/>
  <c r="J26" i="9"/>
  <c r="I98" i="9"/>
  <c r="I9" i="6"/>
  <c r="J26" i="21"/>
  <c r="J30" i="21"/>
  <c r="J7" i="24"/>
  <c r="J9" i="13"/>
  <c r="J8" i="7"/>
  <c r="I37" i="21"/>
  <c r="I38" i="21"/>
  <c r="J35" i="21"/>
  <c r="J21" i="7"/>
  <c r="J34" i="7"/>
  <c r="J50" i="7"/>
  <c r="J37" i="9"/>
  <c r="J40" i="9"/>
  <c r="I38" i="9"/>
  <c r="J35" i="9"/>
  <c r="J41" i="9"/>
  <c r="J36" i="9"/>
  <c r="I99" i="9"/>
  <c r="I10" i="6"/>
  <c r="J36" i="21"/>
  <c r="J40" i="21"/>
  <c r="J8" i="24"/>
  <c r="J10" i="13"/>
  <c r="J9" i="7"/>
  <c r="I47" i="21"/>
  <c r="I48" i="21"/>
  <c r="J45" i="21"/>
  <c r="J22" i="7"/>
  <c r="J35" i="7"/>
  <c r="J51" i="7"/>
  <c r="J47" i="9"/>
  <c r="J50" i="9"/>
  <c r="I48" i="9"/>
  <c r="J45" i="9"/>
  <c r="J51" i="9"/>
  <c r="J46" i="9"/>
  <c r="I100" i="9"/>
  <c r="I11" i="6"/>
  <c r="J46" i="21"/>
  <c r="J50" i="21"/>
  <c r="J9" i="24"/>
  <c r="J11" i="13"/>
  <c r="J10" i="7"/>
  <c r="I57" i="21"/>
  <c r="I58" i="21"/>
  <c r="J55" i="21"/>
  <c r="J23" i="7"/>
  <c r="J36" i="7"/>
  <c r="J52" i="7"/>
  <c r="J57" i="9"/>
  <c r="J60" i="9"/>
  <c r="I58" i="9"/>
  <c r="J55" i="9"/>
  <c r="J61" i="9"/>
  <c r="J56" i="9"/>
  <c r="I101" i="9"/>
  <c r="I12" i="6"/>
  <c r="J56" i="21"/>
  <c r="J60" i="21"/>
  <c r="J10" i="24"/>
  <c r="J12" i="13"/>
  <c r="J11" i="7"/>
  <c r="I67" i="21"/>
  <c r="I68" i="21"/>
  <c r="J65" i="21"/>
  <c r="J24" i="7"/>
  <c r="J37" i="7"/>
  <c r="J53" i="7"/>
  <c r="J67" i="9"/>
  <c r="J70" i="9"/>
  <c r="I68" i="9"/>
  <c r="J65" i="9"/>
  <c r="J71" i="9"/>
  <c r="J66" i="9"/>
  <c r="I102" i="9"/>
  <c r="I13" i="6"/>
  <c r="J66" i="21"/>
  <c r="J70" i="21"/>
  <c r="J11" i="24"/>
  <c r="J13" i="13"/>
  <c r="J12" i="7"/>
  <c r="J25" i="7"/>
  <c r="J38" i="7"/>
  <c r="J54" i="7"/>
  <c r="J77" i="9"/>
  <c r="J80" i="9"/>
  <c r="I78" i="9"/>
  <c r="J75" i="9"/>
  <c r="J81" i="9"/>
  <c r="J76" i="9"/>
  <c r="I103" i="9"/>
  <c r="I14" i="6"/>
  <c r="J76" i="21"/>
  <c r="J80" i="21"/>
  <c r="J12" i="24"/>
  <c r="J14" i="13"/>
  <c r="J13" i="7"/>
  <c r="J26" i="7"/>
  <c r="J39" i="7"/>
  <c r="J55" i="7"/>
  <c r="J87" i="9"/>
  <c r="J90" i="9"/>
  <c r="I88" i="9"/>
  <c r="J85" i="9"/>
  <c r="J91" i="9"/>
  <c r="J86" i="9"/>
  <c r="I104" i="9"/>
  <c r="I15" i="6"/>
  <c r="J86" i="21"/>
  <c r="J90" i="21"/>
  <c r="J13" i="24"/>
  <c r="J15" i="13"/>
  <c r="J14" i="7"/>
  <c r="J14" i="24"/>
  <c r="J16" i="13"/>
  <c r="J21" i="13"/>
  <c r="J18" i="25"/>
  <c r="J19" i="25"/>
  <c r="J20" i="25"/>
  <c r="J25" i="25"/>
  <c r="J7" i="25"/>
  <c r="J34" i="25"/>
  <c r="J22" i="13"/>
  <c r="J131" i="12"/>
  <c r="J132" i="12"/>
  <c r="J133" i="12"/>
  <c r="J134" i="12"/>
  <c r="J135" i="12"/>
  <c r="J136" i="12"/>
  <c r="J137" i="12"/>
  <c r="J138" i="12"/>
  <c r="J139" i="12"/>
  <c r="J141" i="12"/>
  <c r="J8" i="25"/>
  <c r="J35" i="25"/>
  <c r="J23" i="13"/>
  <c r="I58" i="12"/>
  <c r="I87" i="12"/>
  <c r="I56" i="12"/>
  <c r="I85" i="12"/>
  <c r="I53" i="12"/>
  <c r="I82" i="12"/>
  <c r="I54" i="12"/>
  <c r="I83" i="12"/>
  <c r="I43" i="12"/>
  <c r="I72" i="12"/>
  <c r="I44" i="12"/>
  <c r="I73" i="12"/>
  <c r="I45" i="12"/>
  <c r="I74" i="12"/>
  <c r="I46" i="12"/>
  <c r="I75" i="12"/>
  <c r="I47" i="12"/>
  <c r="I76" i="12"/>
  <c r="I48" i="12"/>
  <c r="I77" i="12"/>
  <c r="I49" i="12"/>
  <c r="I78" i="12"/>
  <c r="I50" i="12"/>
  <c r="I79" i="12"/>
  <c r="I51" i="12"/>
  <c r="I80" i="12"/>
  <c r="I40" i="12"/>
  <c r="I69" i="12"/>
  <c r="I41" i="12"/>
  <c r="I70" i="12"/>
  <c r="I37" i="12"/>
  <c r="I66" i="12"/>
  <c r="I38" i="12"/>
  <c r="I67" i="12"/>
  <c r="I89" i="12"/>
  <c r="J9" i="25"/>
  <c r="J36" i="25"/>
  <c r="J24" i="13"/>
  <c r="J10" i="25"/>
  <c r="J37" i="25"/>
  <c r="J25" i="13"/>
  <c r="J26" i="13"/>
  <c r="J28" i="13"/>
  <c r="J6" i="14"/>
  <c r="J10" i="14"/>
  <c r="J7" i="14"/>
  <c r="J34" i="14"/>
  <c r="I17" i="14"/>
  <c r="J14" i="14"/>
  <c r="J47" i="13"/>
  <c r="J48" i="13"/>
  <c r="J49" i="13"/>
  <c r="J19" i="24"/>
  <c r="J36" i="13"/>
  <c r="J20" i="24"/>
  <c r="J37" i="13"/>
  <c r="J21" i="24"/>
  <c r="J38" i="13"/>
  <c r="J22" i="24"/>
  <c r="J39" i="13"/>
  <c r="J23" i="24"/>
  <c r="J40" i="13"/>
  <c r="J24" i="24"/>
  <c r="J41" i="13"/>
  <c r="J25" i="24"/>
  <c r="J42" i="13"/>
  <c r="J26" i="24"/>
  <c r="J43" i="13"/>
  <c r="J27" i="24"/>
  <c r="J44" i="13"/>
  <c r="J27" i="7"/>
  <c r="J28" i="24"/>
  <c r="J45" i="13"/>
  <c r="J50" i="13"/>
  <c r="J26" i="25"/>
  <c r="J42" i="25"/>
  <c r="J51" i="13"/>
  <c r="J43" i="25"/>
  <c r="J52" i="13"/>
  <c r="J44" i="25"/>
  <c r="J53" i="13"/>
  <c r="J45" i="25"/>
  <c r="J54" i="13"/>
  <c r="J55" i="13"/>
  <c r="J57" i="13"/>
  <c r="J15" i="14"/>
  <c r="J19" i="14"/>
  <c r="J16" i="14"/>
  <c r="J35" i="14"/>
  <c r="I26" i="14"/>
  <c r="J23" i="14"/>
  <c r="J76" i="13"/>
  <c r="J77" i="13"/>
  <c r="J78" i="13"/>
  <c r="J33" i="24"/>
  <c r="J65" i="13"/>
  <c r="J34" i="24"/>
  <c r="J66" i="13"/>
  <c r="J35" i="24"/>
  <c r="J67" i="13"/>
  <c r="J36" i="24"/>
  <c r="J68" i="13"/>
  <c r="J37" i="24"/>
  <c r="J69" i="13"/>
  <c r="J38" i="24"/>
  <c r="J70" i="13"/>
  <c r="J39" i="24"/>
  <c r="J71" i="13"/>
  <c r="J40" i="24"/>
  <c r="J72" i="13"/>
  <c r="J41" i="24"/>
  <c r="J73" i="13"/>
  <c r="J40" i="7"/>
  <c r="J42" i="24"/>
  <c r="J74" i="13"/>
  <c r="J79" i="13"/>
  <c r="J27" i="25"/>
  <c r="J50" i="25"/>
  <c r="J80" i="13"/>
  <c r="J51" i="25"/>
  <c r="J81" i="13"/>
  <c r="J52" i="25"/>
  <c r="J82" i="13"/>
  <c r="J53" i="25"/>
  <c r="J83" i="13"/>
  <c r="J84" i="13"/>
  <c r="J86" i="13"/>
  <c r="J24" i="14"/>
  <c r="J28" i="14"/>
  <c r="J25" i="14"/>
  <c r="J36" i="14"/>
  <c r="J38" i="14"/>
  <c r="I14" i="27"/>
  <c r="I15" i="27"/>
  <c r="I18" i="27"/>
  <c r="I6" i="27"/>
  <c r="I10" i="27"/>
  <c r="I7" i="10"/>
  <c r="I17" i="6"/>
  <c r="I8" i="10"/>
  <c r="I11" i="10"/>
  <c r="H16" i="10"/>
  <c r="H18" i="10"/>
  <c r="I15" i="10"/>
  <c r="I17" i="10"/>
  <c r="I20" i="10"/>
  <c r="I31" i="18"/>
  <c r="I32" i="18"/>
  <c r="J31" i="11"/>
  <c r="J7" i="3"/>
  <c r="J14" i="3"/>
  <c r="J21" i="3"/>
  <c r="J30" i="3"/>
  <c r="J8" i="3"/>
  <c r="J15" i="3"/>
  <c r="J22" i="3"/>
  <c r="J31" i="3"/>
  <c r="J9" i="3"/>
  <c r="J16" i="3"/>
  <c r="J23" i="3"/>
  <c r="J32" i="3"/>
  <c r="J34" i="3"/>
  <c r="J5" i="22"/>
  <c r="J6" i="22"/>
  <c r="J12" i="22"/>
  <c r="J7" i="22"/>
  <c r="J8" i="22"/>
  <c r="J13" i="22"/>
  <c r="J14" i="22"/>
  <c r="J15" i="22"/>
  <c r="J9" i="18"/>
  <c r="J11" i="18"/>
  <c r="I5" i="23"/>
  <c r="I7" i="23"/>
  <c r="I12" i="23"/>
  <c r="J13" i="23"/>
  <c r="J24" i="18"/>
  <c r="J25" i="3"/>
  <c r="J7" i="27"/>
  <c r="J8" i="27"/>
  <c r="J25" i="18"/>
  <c r="J28" i="5"/>
  <c r="J29" i="5"/>
  <c r="J30" i="5"/>
  <c r="K9" i="4"/>
  <c r="K12" i="4"/>
  <c r="J10" i="4"/>
  <c r="K7" i="4"/>
  <c r="K13" i="4"/>
  <c r="K8" i="4"/>
  <c r="K39" i="4"/>
  <c r="K31" i="26"/>
  <c r="K9" i="26"/>
  <c r="K54" i="26"/>
  <c r="K77" i="26"/>
  <c r="K100" i="26"/>
  <c r="K123" i="26"/>
  <c r="K19" i="4"/>
  <c r="K22" i="4"/>
  <c r="J20" i="4"/>
  <c r="K17" i="4"/>
  <c r="K23" i="4"/>
  <c r="K18" i="4"/>
  <c r="K40" i="4"/>
  <c r="K37" i="26"/>
  <c r="K15" i="26"/>
  <c r="K60" i="26"/>
  <c r="K83" i="26"/>
  <c r="K106" i="26"/>
  <c r="K129" i="26"/>
  <c r="K29" i="4"/>
  <c r="K32" i="4"/>
  <c r="J30" i="4"/>
  <c r="K27" i="4"/>
  <c r="K33" i="4"/>
  <c r="K28" i="4"/>
  <c r="K41" i="4"/>
  <c r="K44" i="26"/>
  <c r="K22" i="26"/>
  <c r="K67" i="26"/>
  <c r="K90" i="26"/>
  <c r="K113" i="26"/>
  <c r="K136" i="26"/>
  <c r="J7" i="5"/>
  <c r="K32" i="26"/>
  <c r="K10" i="26"/>
  <c r="K55" i="26"/>
  <c r="K78" i="26"/>
  <c r="K101" i="26"/>
  <c r="K124" i="26"/>
  <c r="K38" i="26"/>
  <c r="K16" i="26"/>
  <c r="K61" i="26"/>
  <c r="K84" i="26"/>
  <c r="K107" i="26"/>
  <c r="K130" i="26"/>
  <c r="K45" i="26"/>
  <c r="K23" i="26"/>
  <c r="K68" i="26"/>
  <c r="K91" i="26"/>
  <c r="K114" i="26"/>
  <c r="K137" i="26"/>
  <c r="J8" i="5"/>
  <c r="K33" i="26"/>
  <c r="K11" i="26"/>
  <c r="K56" i="26"/>
  <c r="K79" i="26"/>
  <c r="K102" i="26"/>
  <c r="K125" i="26"/>
  <c r="K39" i="26"/>
  <c r="K17" i="26"/>
  <c r="K62" i="26"/>
  <c r="K85" i="26"/>
  <c r="K108" i="26"/>
  <c r="K131" i="26"/>
  <c r="K46" i="26"/>
  <c r="K24" i="26"/>
  <c r="K69" i="26"/>
  <c r="K92" i="26"/>
  <c r="K115" i="26"/>
  <c r="K138" i="26"/>
  <c r="J9" i="5"/>
  <c r="J10" i="5"/>
  <c r="J15" i="5"/>
  <c r="J16" i="5"/>
  <c r="J17" i="5"/>
  <c r="J18" i="5"/>
  <c r="J19" i="5"/>
  <c r="J20" i="5"/>
  <c r="J22" i="5"/>
  <c r="J31" i="5"/>
  <c r="J32" i="5"/>
  <c r="J33" i="5"/>
  <c r="J34" i="5"/>
  <c r="J26" i="18"/>
  <c r="J41" i="5"/>
  <c r="J42" i="5"/>
  <c r="J43" i="5"/>
  <c r="J44" i="5"/>
  <c r="J27" i="18"/>
  <c r="J29" i="18"/>
  <c r="J9" i="22"/>
  <c r="J8" i="14"/>
  <c r="K5" i="14"/>
  <c r="K18" i="13"/>
  <c r="K19" i="13"/>
  <c r="K20" i="13"/>
  <c r="K5" i="7"/>
  <c r="J7" i="21"/>
  <c r="J8" i="21"/>
  <c r="K5" i="21"/>
  <c r="K18" i="7"/>
  <c r="K31" i="7"/>
  <c r="K47" i="7"/>
  <c r="K7" i="9"/>
  <c r="K10" i="9"/>
  <c r="J8" i="9"/>
  <c r="K5" i="9"/>
  <c r="K11" i="9"/>
  <c r="K6" i="9"/>
  <c r="J96" i="9"/>
  <c r="J7" i="6"/>
  <c r="K6" i="21"/>
  <c r="K10" i="21"/>
  <c r="K5" i="24"/>
  <c r="K7" i="13"/>
  <c r="K6" i="7"/>
  <c r="J17" i="21"/>
  <c r="J18" i="21"/>
  <c r="K15" i="21"/>
  <c r="K19" i="7"/>
  <c r="K32" i="7"/>
  <c r="K48" i="7"/>
  <c r="K17" i="9"/>
  <c r="K20" i="9"/>
  <c r="J18" i="9"/>
  <c r="K15" i="9"/>
  <c r="K21" i="9"/>
  <c r="K16" i="9"/>
  <c r="J97" i="9"/>
  <c r="J8" i="6"/>
  <c r="K16" i="21"/>
  <c r="K20" i="21"/>
  <c r="K6" i="24"/>
  <c r="K8" i="13"/>
  <c r="K7" i="7"/>
  <c r="J27" i="21"/>
  <c r="J28" i="21"/>
  <c r="K25" i="21"/>
  <c r="K20" i="7"/>
  <c r="K33" i="7"/>
  <c r="K49" i="7"/>
  <c r="K27" i="9"/>
  <c r="K30" i="9"/>
  <c r="J28" i="9"/>
  <c r="K25" i="9"/>
  <c r="K31" i="9"/>
  <c r="K26" i="9"/>
  <c r="J98" i="9"/>
  <c r="J9" i="6"/>
  <c r="K26" i="21"/>
  <c r="K30" i="21"/>
  <c r="K7" i="24"/>
  <c r="K9" i="13"/>
  <c r="K8" i="7"/>
  <c r="J37" i="21"/>
  <c r="J38" i="21"/>
  <c r="K35" i="21"/>
  <c r="K21" i="7"/>
  <c r="K34" i="7"/>
  <c r="K50" i="7"/>
  <c r="K37" i="9"/>
  <c r="K40" i="9"/>
  <c r="J38" i="9"/>
  <c r="K35" i="9"/>
  <c r="K41" i="9"/>
  <c r="K36" i="9"/>
  <c r="J99" i="9"/>
  <c r="J10" i="6"/>
  <c r="K36" i="21"/>
  <c r="K40" i="21"/>
  <c r="K8" i="24"/>
  <c r="K10" i="13"/>
  <c r="K9" i="7"/>
  <c r="J47" i="21"/>
  <c r="J48" i="21"/>
  <c r="K45" i="21"/>
  <c r="K22" i="7"/>
  <c r="K35" i="7"/>
  <c r="K51" i="7"/>
  <c r="K47" i="9"/>
  <c r="K50" i="9"/>
  <c r="J48" i="9"/>
  <c r="K45" i="9"/>
  <c r="K51" i="9"/>
  <c r="K46" i="9"/>
  <c r="J100" i="9"/>
  <c r="J11" i="6"/>
  <c r="K46" i="21"/>
  <c r="K50" i="21"/>
  <c r="K9" i="24"/>
  <c r="K11" i="13"/>
  <c r="K10" i="7"/>
  <c r="J57" i="21"/>
  <c r="J58" i="21"/>
  <c r="K55" i="21"/>
  <c r="K23" i="7"/>
  <c r="K36" i="7"/>
  <c r="K52" i="7"/>
  <c r="K57" i="9"/>
  <c r="K60" i="9"/>
  <c r="J58" i="9"/>
  <c r="K55" i="9"/>
  <c r="K61" i="9"/>
  <c r="K56" i="9"/>
  <c r="J101" i="9"/>
  <c r="J12" i="6"/>
  <c r="K56" i="21"/>
  <c r="K60" i="21"/>
  <c r="K10" i="24"/>
  <c r="K12" i="13"/>
  <c r="K11" i="7"/>
  <c r="J67" i="21"/>
  <c r="J68" i="21"/>
  <c r="K65" i="21"/>
  <c r="K24" i="7"/>
  <c r="K37" i="7"/>
  <c r="K53" i="7"/>
  <c r="K67" i="9"/>
  <c r="K70" i="9"/>
  <c r="J68" i="9"/>
  <c r="K65" i="9"/>
  <c r="K71" i="9"/>
  <c r="K66" i="9"/>
  <c r="J102" i="9"/>
  <c r="J13" i="6"/>
  <c r="K66" i="21"/>
  <c r="K70" i="21"/>
  <c r="K11" i="24"/>
  <c r="K13" i="13"/>
  <c r="K12" i="7"/>
  <c r="K25" i="7"/>
  <c r="K38" i="7"/>
  <c r="K54" i="7"/>
  <c r="K77" i="9"/>
  <c r="K80" i="9"/>
  <c r="J78" i="9"/>
  <c r="K75" i="9"/>
  <c r="K81" i="9"/>
  <c r="K76" i="9"/>
  <c r="J103" i="9"/>
  <c r="J14" i="6"/>
  <c r="K76" i="21"/>
  <c r="K80" i="21"/>
  <c r="K12" i="24"/>
  <c r="K14" i="13"/>
  <c r="K13" i="7"/>
  <c r="K26" i="7"/>
  <c r="K39" i="7"/>
  <c r="K55" i="7"/>
  <c r="K87" i="9"/>
  <c r="K90" i="9"/>
  <c r="J88" i="9"/>
  <c r="K85" i="9"/>
  <c r="K91" i="9"/>
  <c r="K86" i="9"/>
  <c r="J104" i="9"/>
  <c r="J15" i="6"/>
  <c r="K86" i="21"/>
  <c r="K90" i="21"/>
  <c r="K13" i="24"/>
  <c r="K15" i="13"/>
  <c r="K14" i="7"/>
  <c r="K14" i="24"/>
  <c r="K16" i="13"/>
  <c r="K21" i="13"/>
  <c r="K18" i="25"/>
  <c r="K19" i="25"/>
  <c r="K20" i="25"/>
  <c r="K25" i="25"/>
  <c r="K7" i="25"/>
  <c r="K34" i="25"/>
  <c r="K22" i="13"/>
  <c r="K131" i="12"/>
  <c r="K132" i="12"/>
  <c r="K133" i="12"/>
  <c r="K134" i="12"/>
  <c r="K135" i="12"/>
  <c r="K136" i="12"/>
  <c r="K137" i="12"/>
  <c r="K138" i="12"/>
  <c r="K139" i="12"/>
  <c r="K141" i="12"/>
  <c r="K8" i="25"/>
  <c r="K35" i="25"/>
  <c r="K23" i="13"/>
  <c r="J58" i="12"/>
  <c r="J87" i="12"/>
  <c r="J56" i="12"/>
  <c r="J85" i="12"/>
  <c r="J53" i="12"/>
  <c r="J82" i="12"/>
  <c r="J54" i="12"/>
  <c r="J83" i="12"/>
  <c r="J43" i="12"/>
  <c r="J72" i="12"/>
  <c r="J44" i="12"/>
  <c r="J73" i="12"/>
  <c r="J45" i="12"/>
  <c r="J74" i="12"/>
  <c r="J46" i="12"/>
  <c r="J75" i="12"/>
  <c r="J47" i="12"/>
  <c r="J76" i="12"/>
  <c r="J48" i="12"/>
  <c r="J77" i="12"/>
  <c r="J49" i="12"/>
  <c r="J78" i="12"/>
  <c r="J50" i="12"/>
  <c r="J79" i="12"/>
  <c r="J51" i="12"/>
  <c r="J80" i="12"/>
  <c r="J40" i="12"/>
  <c r="J69" i="12"/>
  <c r="J41" i="12"/>
  <c r="J70" i="12"/>
  <c r="J37" i="12"/>
  <c r="J66" i="12"/>
  <c r="J38" i="12"/>
  <c r="J67" i="12"/>
  <c r="J89" i="12"/>
  <c r="K9" i="25"/>
  <c r="K36" i="25"/>
  <c r="K24" i="13"/>
  <c r="K10" i="25"/>
  <c r="K37" i="25"/>
  <c r="K25" i="13"/>
  <c r="K26" i="13"/>
  <c r="K28" i="13"/>
  <c r="K6" i="14"/>
  <c r="K10" i="14"/>
  <c r="K7" i="14"/>
  <c r="K34" i="14"/>
  <c r="J17" i="14"/>
  <c r="K14" i="14"/>
  <c r="K47" i="13"/>
  <c r="K48" i="13"/>
  <c r="K49" i="13"/>
  <c r="K19" i="24"/>
  <c r="K36" i="13"/>
  <c r="K20" i="24"/>
  <c r="K37" i="13"/>
  <c r="K21" i="24"/>
  <c r="K38" i="13"/>
  <c r="K22" i="24"/>
  <c r="K39" i="13"/>
  <c r="K23" i="24"/>
  <c r="K40" i="13"/>
  <c r="K24" i="24"/>
  <c r="K41" i="13"/>
  <c r="K25" i="24"/>
  <c r="K42" i="13"/>
  <c r="K26" i="24"/>
  <c r="K43" i="13"/>
  <c r="K27" i="24"/>
  <c r="K44" i="13"/>
  <c r="K27" i="7"/>
  <c r="K28" i="24"/>
  <c r="K45" i="13"/>
  <c r="K50" i="13"/>
  <c r="K26" i="25"/>
  <c r="K42" i="25"/>
  <c r="K51" i="13"/>
  <c r="K43" i="25"/>
  <c r="K52" i="13"/>
  <c r="K44" i="25"/>
  <c r="K53" i="13"/>
  <c r="K45" i="25"/>
  <c r="K54" i="13"/>
  <c r="K55" i="13"/>
  <c r="K57" i="13"/>
  <c r="K15" i="14"/>
  <c r="K19" i="14"/>
  <c r="K16" i="14"/>
  <c r="K35" i="14"/>
  <c r="J26" i="14"/>
  <c r="K23" i="14"/>
  <c r="K76" i="13"/>
  <c r="K77" i="13"/>
  <c r="K78" i="13"/>
  <c r="K33" i="24"/>
  <c r="K65" i="13"/>
  <c r="K34" i="24"/>
  <c r="K66" i="13"/>
  <c r="K35" i="24"/>
  <c r="K67" i="13"/>
  <c r="K36" i="24"/>
  <c r="K68" i="13"/>
  <c r="K37" i="24"/>
  <c r="K69" i="13"/>
  <c r="K38" i="24"/>
  <c r="K70" i="13"/>
  <c r="K39" i="24"/>
  <c r="K71" i="13"/>
  <c r="K40" i="24"/>
  <c r="K72" i="13"/>
  <c r="K41" i="24"/>
  <c r="K73" i="13"/>
  <c r="K40" i="7"/>
  <c r="K42" i="24"/>
  <c r="K74" i="13"/>
  <c r="K79" i="13"/>
  <c r="K27" i="25"/>
  <c r="K50" i="25"/>
  <c r="K80" i="13"/>
  <c r="K51" i="25"/>
  <c r="K81" i="13"/>
  <c r="K52" i="25"/>
  <c r="K82" i="13"/>
  <c r="K53" i="25"/>
  <c r="K83" i="13"/>
  <c r="K84" i="13"/>
  <c r="K86" i="13"/>
  <c r="K24" i="14"/>
  <c r="K28" i="14"/>
  <c r="K25" i="14"/>
  <c r="K36" i="14"/>
  <c r="K38" i="14"/>
  <c r="J14" i="27"/>
  <c r="J15" i="27"/>
  <c r="J18" i="27"/>
  <c r="J6" i="27"/>
  <c r="J10" i="27"/>
  <c r="J7" i="10"/>
  <c r="J17" i="6"/>
  <c r="J8" i="10"/>
  <c r="J11" i="10"/>
  <c r="I16" i="10"/>
  <c r="I18" i="10"/>
  <c r="J15" i="10"/>
  <c r="J17" i="10"/>
  <c r="J20" i="10"/>
  <c r="J31" i="18"/>
  <c r="J32" i="18"/>
  <c r="K31" i="11"/>
  <c r="K101" i="18"/>
  <c r="J14" i="18"/>
  <c r="J15" i="18"/>
  <c r="J60" i="18"/>
  <c r="J61" i="18"/>
  <c r="I119" i="18"/>
  <c r="J116" i="18"/>
  <c r="J62" i="18"/>
  <c r="J118" i="18"/>
  <c r="J16" i="18"/>
  <c r="J63" i="18"/>
  <c r="J65" i="18"/>
  <c r="J17" i="18"/>
  <c r="J18" i="18"/>
  <c r="J20" i="18"/>
  <c r="J70" i="18"/>
  <c r="J71" i="18"/>
  <c r="J73" i="18"/>
  <c r="J37" i="18"/>
  <c r="J72" i="18"/>
  <c r="J74" i="18"/>
  <c r="J75" i="18"/>
  <c r="I112" i="18"/>
  <c r="I114" i="18"/>
  <c r="J111" i="18"/>
  <c r="J77" i="18"/>
  <c r="J78" i="18"/>
  <c r="J113" i="18"/>
  <c r="J38" i="18"/>
  <c r="J76" i="18"/>
  <c r="J80" i="18"/>
  <c r="J81" i="18"/>
  <c r="J82" i="18"/>
  <c r="J117" i="18"/>
  <c r="J39" i="18"/>
  <c r="J40" i="18"/>
  <c r="J42" i="18"/>
  <c r="J48" i="18"/>
  <c r="K5" i="18"/>
  <c r="K7" i="3"/>
  <c r="K14" i="3"/>
  <c r="K21" i="3"/>
  <c r="K30" i="3"/>
  <c r="K8" i="3"/>
  <c r="K15" i="3"/>
  <c r="K22" i="3"/>
  <c r="K31" i="3"/>
  <c r="K9" i="3"/>
  <c r="K16" i="3"/>
  <c r="K23" i="3"/>
  <c r="K32" i="3"/>
  <c r="K34" i="3"/>
  <c r="K5" i="22"/>
  <c r="K6" i="22"/>
  <c r="K12" i="22"/>
  <c r="K7" i="22"/>
  <c r="K8" i="22"/>
  <c r="K13" i="22"/>
  <c r="K14" i="22"/>
  <c r="K15" i="22"/>
  <c r="K9" i="18"/>
  <c r="K11" i="18"/>
  <c r="J5" i="23"/>
  <c r="J7" i="23"/>
  <c r="J12" i="23"/>
  <c r="K13" i="23"/>
  <c r="K24" i="18"/>
  <c r="K25" i="3"/>
  <c r="K7" i="27"/>
  <c r="K8" i="27"/>
  <c r="K25" i="18"/>
  <c r="K28" i="5"/>
  <c r="K29" i="5"/>
  <c r="K30" i="5"/>
  <c r="L9" i="4"/>
  <c r="L12" i="4"/>
  <c r="K10" i="4"/>
  <c r="L7" i="4"/>
  <c r="L13" i="4"/>
  <c r="L8" i="4"/>
  <c r="L39" i="4"/>
  <c r="L31" i="26"/>
  <c r="L9" i="26"/>
  <c r="L54" i="26"/>
  <c r="L77" i="26"/>
  <c r="L100" i="26"/>
  <c r="L123" i="26"/>
  <c r="L19" i="4"/>
  <c r="L22" i="4"/>
  <c r="K20" i="4"/>
  <c r="L17" i="4"/>
  <c r="L23" i="4"/>
  <c r="L18" i="4"/>
  <c r="L40" i="4"/>
  <c r="L37" i="26"/>
  <c r="L15" i="26"/>
  <c r="L60" i="26"/>
  <c r="L83" i="26"/>
  <c r="L106" i="26"/>
  <c r="L129" i="26"/>
  <c r="L29" i="4"/>
  <c r="L32" i="4"/>
  <c r="K30" i="4"/>
  <c r="L27" i="4"/>
  <c r="L33" i="4"/>
  <c r="L28" i="4"/>
  <c r="L41" i="4"/>
  <c r="L44" i="26"/>
  <c r="L22" i="26"/>
  <c r="L67" i="26"/>
  <c r="L90" i="26"/>
  <c r="L113" i="26"/>
  <c r="L136" i="26"/>
  <c r="K7" i="5"/>
  <c r="L32" i="26"/>
  <c r="L10" i="26"/>
  <c r="L55" i="26"/>
  <c r="L78" i="26"/>
  <c r="L101" i="26"/>
  <c r="L124" i="26"/>
  <c r="L38" i="26"/>
  <c r="L16" i="26"/>
  <c r="L61" i="26"/>
  <c r="L84" i="26"/>
  <c r="L107" i="26"/>
  <c r="L130" i="26"/>
  <c r="L45" i="26"/>
  <c r="L23" i="26"/>
  <c r="L68" i="26"/>
  <c r="L91" i="26"/>
  <c r="L114" i="26"/>
  <c r="L137" i="26"/>
  <c r="K8" i="5"/>
  <c r="L33" i="26"/>
  <c r="L11" i="26"/>
  <c r="L56" i="26"/>
  <c r="L79" i="26"/>
  <c r="L102" i="26"/>
  <c r="L125" i="26"/>
  <c r="L39" i="26"/>
  <c r="L17" i="26"/>
  <c r="L62" i="26"/>
  <c r="L85" i="26"/>
  <c r="L108" i="26"/>
  <c r="L131" i="26"/>
  <c r="L46" i="26"/>
  <c r="L24" i="26"/>
  <c r="L69" i="26"/>
  <c r="L92" i="26"/>
  <c r="L115" i="26"/>
  <c r="L138" i="26"/>
  <c r="K9" i="5"/>
  <c r="K10" i="5"/>
  <c r="K15" i="5"/>
  <c r="K16" i="5"/>
  <c r="K17" i="5"/>
  <c r="K18" i="5"/>
  <c r="K19" i="5"/>
  <c r="K20" i="5"/>
  <c r="K22" i="5"/>
  <c r="K31" i="5"/>
  <c r="K32" i="5"/>
  <c r="K33" i="5"/>
  <c r="K34" i="5"/>
  <c r="K26" i="18"/>
  <c r="K41" i="5"/>
  <c r="K42" i="5"/>
  <c r="K43" i="5"/>
  <c r="K44" i="5"/>
  <c r="K27" i="18"/>
  <c r="K28" i="18"/>
  <c r="K29" i="18"/>
  <c r="K9" i="22"/>
  <c r="K8" i="14"/>
  <c r="L5" i="14"/>
  <c r="L18" i="13"/>
  <c r="L19" i="13"/>
  <c r="L20" i="13"/>
  <c r="L5" i="7"/>
  <c r="K7" i="21"/>
  <c r="K8" i="21"/>
  <c r="L5" i="21"/>
  <c r="L18" i="7"/>
  <c r="L31" i="7"/>
  <c r="L47" i="7"/>
  <c r="L7" i="9"/>
  <c r="L10" i="9"/>
  <c r="K8" i="9"/>
  <c r="L5" i="9"/>
  <c r="L11" i="9"/>
  <c r="L6" i="9"/>
  <c r="K96" i="9"/>
  <c r="K7" i="6"/>
  <c r="L6" i="21"/>
  <c r="L10" i="21"/>
  <c r="L5" i="24"/>
  <c r="L7" i="13"/>
  <c r="L6" i="7"/>
  <c r="K17" i="21"/>
  <c r="K18" i="21"/>
  <c r="L15" i="21"/>
  <c r="L19" i="7"/>
  <c r="L32" i="7"/>
  <c r="L48" i="7"/>
  <c r="L17" i="9"/>
  <c r="L20" i="9"/>
  <c r="K18" i="9"/>
  <c r="L15" i="9"/>
  <c r="L21" i="9"/>
  <c r="L16" i="9"/>
  <c r="K97" i="9"/>
  <c r="K8" i="6"/>
  <c r="L16" i="21"/>
  <c r="L20" i="21"/>
  <c r="L6" i="24"/>
  <c r="L8" i="13"/>
  <c r="L7" i="7"/>
  <c r="K27" i="21"/>
  <c r="K28" i="21"/>
  <c r="L25" i="21"/>
  <c r="L20" i="7"/>
  <c r="L33" i="7"/>
  <c r="L49" i="7"/>
  <c r="L27" i="9"/>
  <c r="L30" i="9"/>
  <c r="K28" i="9"/>
  <c r="L25" i="9"/>
  <c r="L31" i="9"/>
  <c r="L26" i="9"/>
  <c r="K98" i="9"/>
  <c r="K9" i="6"/>
  <c r="L26" i="21"/>
  <c r="L30" i="21"/>
  <c r="L7" i="24"/>
  <c r="L9" i="13"/>
  <c r="L8" i="7"/>
  <c r="K37" i="21"/>
  <c r="K38" i="21"/>
  <c r="L35" i="21"/>
  <c r="L21" i="7"/>
  <c r="L34" i="7"/>
  <c r="L50" i="7"/>
  <c r="L37" i="9"/>
  <c r="L40" i="9"/>
  <c r="K38" i="9"/>
  <c r="L35" i="9"/>
  <c r="L41" i="9"/>
  <c r="L36" i="9"/>
  <c r="K99" i="9"/>
  <c r="K10" i="6"/>
  <c r="L36" i="21"/>
  <c r="L40" i="21"/>
  <c r="L8" i="24"/>
  <c r="L10" i="13"/>
  <c r="L9" i="7"/>
  <c r="K47" i="21"/>
  <c r="K48" i="21"/>
  <c r="L45" i="21"/>
  <c r="L22" i="7"/>
  <c r="L35" i="7"/>
  <c r="L51" i="7"/>
  <c r="L47" i="9"/>
  <c r="L50" i="9"/>
  <c r="K48" i="9"/>
  <c r="L45" i="9"/>
  <c r="L51" i="9"/>
  <c r="L46" i="9"/>
  <c r="K100" i="9"/>
  <c r="K11" i="6"/>
  <c r="L46" i="21"/>
  <c r="L50" i="21"/>
  <c r="L9" i="24"/>
  <c r="L11" i="13"/>
  <c r="L10" i="7"/>
  <c r="K57" i="21"/>
  <c r="K58" i="21"/>
  <c r="L55" i="21"/>
  <c r="L23" i="7"/>
  <c r="L36" i="7"/>
  <c r="L52" i="7"/>
  <c r="L57" i="9"/>
  <c r="L60" i="9"/>
  <c r="K58" i="9"/>
  <c r="L55" i="9"/>
  <c r="L61" i="9"/>
  <c r="L56" i="9"/>
  <c r="K101" i="9"/>
  <c r="K12" i="6"/>
  <c r="L56" i="21"/>
  <c r="L60" i="21"/>
  <c r="L10" i="24"/>
  <c r="L12" i="13"/>
  <c r="L11" i="7"/>
  <c r="K67" i="21"/>
  <c r="K68" i="21"/>
  <c r="L65" i="21"/>
  <c r="L24" i="7"/>
  <c r="L37" i="7"/>
  <c r="L53" i="7"/>
  <c r="L67" i="9"/>
  <c r="L70" i="9"/>
  <c r="K68" i="9"/>
  <c r="L65" i="9"/>
  <c r="L71" i="9"/>
  <c r="L66" i="9"/>
  <c r="K102" i="9"/>
  <c r="K13" i="6"/>
  <c r="L66" i="21"/>
  <c r="L70" i="21"/>
  <c r="L11" i="24"/>
  <c r="L13" i="13"/>
  <c r="L12" i="7"/>
  <c r="L25" i="7"/>
  <c r="L38" i="7"/>
  <c r="L54" i="7"/>
  <c r="L77" i="9"/>
  <c r="L80" i="9"/>
  <c r="K78" i="9"/>
  <c r="L75" i="9"/>
  <c r="L81" i="9"/>
  <c r="L76" i="9"/>
  <c r="K103" i="9"/>
  <c r="K14" i="6"/>
  <c r="L76" i="21"/>
  <c r="L80" i="21"/>
  <c r="L12" i="24"/>
  <c r="L14" i="13"/>
  <c r="L13" i="7"/>
  <c r="L26" i="7"/>
  <c r="L39" i="7"/>
  <c r="L55" i="7"/>
  <c r="L87" i="9"/>
  <c r="L90" i="9"/>
  <c r="K88" i="9"/>
  <c r="L85" i="9"/>
  <c r="L91" i="9"/>
  <c r="L86" i="9"/>
  <c r="K104" i="9"/>
  <c r="K15" i="6"/>
  <c r="L86" i="21"/>
  <c r="L90" i="21"/>
  <c r="L13" i="24"/>
  <c r="L15" i="13"/>
  <c r="L14" i="7"/>
  <c r="L14" i="24"/>
  <c r="L16" i="13"/>
  <c r="L21" i="13"/>
  <c r="L18" i="25"/>
  <c r="L19" i="25"/>
  <c r="L20" i="25"/>
  <c r="L25" i="25"/>
  <c r="L7" i="25"/>
  <c r="L34" i="25"/>
  <c r="L22" i="13"/>
  <c r="L131" i="12"/>
  <c r="L132" i="12"/>
  <c r="L133" i="12"/>
  <c r="L134" i="12"/>
  <c r="L135" i="12"/>
  <c r="L136" i="12"/>
  <c r="L137" i="12"/>
  <c r="L138" i="12"/>
  <c r="L139" i="12"/>
  <c r="L141" i="12"/>
  <c r="L8" i="25"/>
  <c r="L35" i="25"/>
  <c r="L23" i="13"/>
  <c r="K58" i="12"/>
  <c r="K87" i="12"/>
  <c r="K56" i="12"/>
  <c r="K85" i="12"/>
  <c r="K53" i="12"/>
  <c r="K82" i="12"/>
  <c r="K54" i="12"/>
  <c r="K83" i="12"/>
  <c r="K43" i="12"/>
  <c r="K72" i="12"/>
  <c r="K44" i="12"/>
  <c r="K73" i="12"/>
  <c r="K45" i="12"/>
  <c r="K74" i="12"/>
  <c r="K46" i="12"/>
  <c r="K75" i="12"/>
  <c r="K47" i="12"/>
  <c r="K76" i="12"/>
  <c r="K48" i="12"/>
  <c r="K77" i="12"/>
  <c r="K49" i="12"/>
  <c r="K78" i="12"/>
  <c r="K50" i="12"/>
  <c r="K79" i="12"/>
  <c r="K51" i="12"/>
  <c r="K80" i="12"/>
  <c r="K40" i="12"/>
  <c r="K69" i="12"/>
  <c r="K41" i="12"/>
  <c r="K70" i="12"/>
  <c r="K37" i="12"/>
  <c r="K66" i="12"/>
  <c r="K38" i="12"/>
  <c r="K67" i="12"/>
  <c r="K89" i="12"/>
  <c r="L9" i="25"/>
  <c r="L36" i="25"/>
  <c r="L24" i="13"/>
  <c r="L10" i="25"/>
  <c r="L37" i="25"/>
  <c r="L25" i="13"/>
  <c r="L26" i="13"/>
  <c r="L28" i="13"/>
  <c r="L6" i="14"/>
  <c r="L10" i="14"/>
  <c r="L7" i="14"/>
  <c r="L34" i="14"/>
  <c r="K17" i="14"/>
  <c r="L14" i="14"/>
  <c r="L47" i="13"/>
  <c r="L48" i="13"/>
  <c r="L49" i="13"/>
  <c r="L19" i="24"/>
  <c r="L36" i="13"/>
  <c r="L20" i="24"/>
  <c r="L37" i="13"/>
  <c r="L21" i="24"/>
  <c r="L38" i="13"/>
  <c r="L22" i="24"/>
  <c r="L39" i="13"/>
  <c r="L23" i="24"/>
  <c r="L40" i="13"/>
  <c r="L24" i="24"/>
  <c r="L41" i="13"/>
  <c r="L25" i="24"/>
  <c r="L42" i="13"/>
  <c r="L26" i="24"/>
  <c r="L43" i="13"/>
  <c r="L27" i="24"/>
  <c r="L44" i="13"/>
  <c r="L27" i="7"/>
  <c r="L28" i="24"/>
  <c r="L45" i="13"/>
  <c r="L50" i="13"/>
  <c r="L26" i="25"/>
  <c r="L42" i="25"/>
  <c r="L51" i="13"/>
  <c r="L43" i="25"/>
  <c r="L52" i="13"/>
  <c r="L44" i="25"/>
  <c r="L53" i="13"/>
  <c r="L45" i="25"/>
  <c r="L54" i="13"/>
  <c r="L55" i="13"/>
  <c r="L57" i="13"/>
  <c r="L15" i="14"/>
  <c r="L19" i="14"/>
  <c r="L16" i="14"/>
  <c r="L35" i="14"/>
  <c r="K26" i="14"/>
  <c r="L23" i="14"/>
  <c r="L76" i="13"/>
  <c r="L77" i="13"/>
  <c r="L78" i="13"/>
  <c r="L33" i="24"/>
  <c r="L65" i="13"/>
  <c r="L34" i="24"/>
  <c r="L66" i="13"/>
  <c r="L35" i="24"/>
  <c r="L67" i="13"/>
  <c r="L36" i="24"/>
  <c r="L68" i="13"/>
  <c r="L37" i="24"/>
  <c r="L69" i="13"/>
  <c r="L38" i="24"/>
  <c r="L70" i="13"/>
  <c r="L39" i="24"/>
  <c r="L71" i="13"/>
  <c r="L40" i="24"/>
  <c r="L72" i="13"/>
  <c r="L41" i="24"/>
  <c r="L73" i="13"/>
  <c r="L40" i="7"/>
  <c r="L42" i="24"/>
  <c r="L74" i="13"/>
  <c r="L79" i="13"/>
  <c r="L27" i="25"/>
  <c r="L50" i="25"/>
  <c r="L80" i="13"/>
  <c r="L51" i="25"/>
  <c r="L81" i="13"/>
  <c r="L52" i="25"/>
  <c r="L82" i="13"/>
  <c r="L53" i="25"/>
  <c r="L83" i="13"/>
  <c r="L84" i="13"/>
  <c r="L86" i="13"/>
  <c r="L24" i="14"/>
  <c r="L28" i="14"/>
  <c r="L25" i="14"/>
  <c r="L36" i="14"/>
  <c r="L38" i="14"/>
  <c r="K14" i="27"/>
  <c r="K15" i="27"/>
  <c r="K18" i="27"/>
  <c r="K6" i="27"/>
  <c r="K10" i="27"/>
  <c r="J40" i="10"/>
  <c r="K38" i="10"/>
  <c r="K39" i="10"/>
  <c r="K31" i="10"/>
  <c r="K32" i="10"/>
  <c r="K30" i="18"/>
  <c r="K7" i="10"/>
  <c r="K17" i="6"/>
  <c r="K8" i="10"/>
  <c r="K11" i="10"/>
  <c r="J16" i="10"/>
  <c r="J18" i="10"/>
  <c r="K15" i="10"/>
  <c r="K17" i="10"/>
  <c r="K20" i="10"/>
  <c r="K31" i="18"/>
  <c r="K32" i="18"/>
  <c r="K34" i="18"/>
  <c r="K46" i="18"/>
  <c r="K53" i="18"/>
  <c r="K54" i="18"/>
  <c r="K55" i="18"/>
  <c r="K56" i="18"/>
  <c r="K102" i="18"/>
  <c r="K103" i="18"/>
  <c r="L31" i="11"/>
  <c r="D21" i="23"/>
  <c r="E30" i="11"/>
  <c r="E21" i="23"/>
  <c r="F30" i="11"/>
  <c r="F21" i="23"/>
  <c r="G30" i="11"/>
  <c r="G21" i="23"/>
  <c r="H30" i="11"/>
  <c r="H21" i="23"/>
  <c r="I30" i="11"/>
  <c r="I21" i="23"/>
  <c r="J30" i="11"/>
  <c r="J21" i="23"/>
  <c r="K30" i="11"/>
  <c r="K5" i="23"/>
  <c r="K7" i="23"/>
  <c r="K21" i="23"/>
  <c r="L30" i="11"/>
  <c r="C21" i="23"/>
  <c r="D30" i="11"/>
  <c r="C18" i="22"/>
  <c r="C21" i="22"/>
  <c r="C22" i="22"/>
  <c r="C23" i="22"/>
  <c r="C26" i="22"/>
  <c r="D18" i="22"/>
  <c r="D21" i="22"/>
  <c r="D22" i="22"/>
  <c r="D23" i="22"/>
  <c r="D26" i="22"/>
  <c r="E10" i="11"/>
  <c r="E18" i="22"/>
  <c r="E21" i="22"/>
  <c r="E22" i="22"/>
  <c r="E23" i="22"/>
  <c r="E26" i="22"/>
  <c r="F10" i="11"/>
  <c r="F18" i="22"/>
  <c r="F21" i="22"/>
  <c r="F22" i="22"/>
  <c r="F23" i="22"/>
  <c r="F26" i="22"/>
  <c r="G10" i="11"/>
  <c r="G18" i="22"/>
  <c r="G21" i="22"/>
  <c r="G22" i="22"/>
  <c r="G23" i="22"/>
  <c r="G26" i="22"/>
  <c r="H10" i="11"/>
  <c r="H18" i="22"/>
  <c r="H21" i="22"/>
  <c r="H22" i="22"/>
  <c r="H23" i="22"/>
  <c r="H26" i="22"/>
  <c r="I10" i="11"/>
  <c r="I18" i="22"/>
  <c r="I21" i="22"/>
  <c r="I22" i="22"/>
  <c r="I23" i="22"/>
  <c r="I26" i="22"/>
  <c r="J10" i="11"/>
  <c r="J18" i="22"/>
  <c r="J21" i="22"/>
  <c r="J22" i="22"/>
  <c r="J23" i="22"/>
  <c r="J26" i="22"/>
  <c r="K10" i="11"/>
  <c r="K18" i="22"/>
  <c r="K21" i="22"/>
  <c r="K22" i="22"/>
  <c r="K23" i="22"/>
  <c r="K26" i="22"/>
  <c r="L10" i="11"/>
  <c r="D10" i="11"/>
  <c r="E9" i="11"/>
  <c r="F9" i="11"/>
  <c r="G9" i="11"/>
  <c r="H9" i="11"/>
  <c r="I9" i="11"/>
  <c r="J9" i="11"/>
  <c r="K9" i="11"/>
  <c r="K16" i="10"/>
  <c r="K18" i="10"/>
  <c r="L9" i="11"/>
  <c r="B32" i="5"/>
  <c r="B17" i="5"/>
  <c r="B18" i="5"/>
  <c r="B19" i="5"/>
  <c r="B16" i="5"/>
  <c r="C161" i="2"/>
  <c r="E56" i="7"/>
  <c r="E104" i="21"/>
  <c r="F56" i="7"/>
  <c r="F104" i="21"/>
  <c r="G56" i="7"/>
  <c r="G104" i="21"/>
  <c r="H56" i="7"/>
  <c r="H104" i="21"/>
  <c r="I56" i="7"/>
  <c r="I104" i="21"/>
  <c r="J56" i="7"/>
  <c r="J104" i="21"/>
  <c r="K56" i="7"/>
  <c r="K104" i="21"/>
  <c r="L56" i="7"/>
  <c r="L104" i="21"/>
  <c r="D56" i="7"/>
  <c r="D104" i="21"/>
  <c r="C22" i="6"/>
  <c r="C23" i="6"/>
  <c r="C24" i="6"/>
  <c r="C25" i="6"/>
  <c r="C26" i="6"/>
  <c r="C27" i="6"/>
  <c r="C28" i="6"/>
  <c r="D77" i="21"/>
  <c r="D78" i="21"/>
  <c r="C29" i="6"/>
  <c r="D87" i="21"/>
  <c r="D88" i="21"/>
  <c r="C30" i="6"/>
  <c r="C32" i="6"/>
  <c r="C158" i="2"/>
  <c r="K17" i="23"/>
  <c r="J17" i="23"/>
  <c r="I17" i="23"/>
  <c r="H17" i="23"/>
  <c r="G17" i="23"/>
  <c r="F17" i="23"/>
  <c r="E17" i="23"/>
  <c r="D17" i="23"/>
  <c r="C17" i="23"/>
  <c r="K16" i="23"/>
  <c r="J16" i="23"/>
  <c r="I16" i="23"/>
  <c r="H16" i="23"/>
  <c r="G16" i="23"/>
  <c r="F16" i="23"/>
  <c r="E16" i="23"/>
  <c r="D16" i="23"/>
  <c r="C16" i="23"/>
  <c r="K12" i="23"/>
  <c r="K9" i="23"/>
  <c r="J9" i="23"/>
  <c r="I9" i="23"/>
  <c r="H9" i="23"/>
  <c r="G9" i="23"/>
  <c r="F9" i="23"/>
  <c r="E9" i="23"/>
  <c r="D9" i="23"/>
  <c r="C9" i="23"/>
  <c r="K8" i="23"/>
  <c r="J8" i="23"/>
  <c r="I8" i="23"/>
  <c r="H8" i="23"/>
  <c r="G8" i="23"/>
  <c r="F8" i="23"/>
  <c r="E8" i="23"/>
  <c r="D8" i="23"/>
  <c r="C8" i="23"/>
  <c r="K6" i="23"/>
  <c r="J6" i="23"/>
  <c r="I6" i="23"/>
  <c r="H6" i="23"/>
  <c r="G6" i="23"/>
  <c r="F6" i="23"/>
  <c r="E6" i="23"/>
  <c r="D6" i="23"/>
  <c r="C6" i="23"/>
  <c r="K10" i="22"/>
  <c r="J10" i="22"/>
  <c r="I10" i="22"/>
  <c r="H10" i="22"/>
  <c r="G10" i="22"/>
  <c r="F10" i="22"/>
  <c r="E10" i="22"/>
  <c r="D10" i="22"/>
  <c r="C10" i="22"/>
  <c r="K19" i="22"/>
  <c r="J19" i="22"/>
  <c r="I19" i="22"/>
  <c r="H19" i="22"/>
  <c r="G19" i="22"/>
  <c r="F19" i="22"/>
  <c r="E19" i="22"/>
  <c r="D19" i="22"/>
  <c r="C19" i="22"/>
  <c r="K25" i="22"/>
  <c r="J25" i="22"/>
  <c r="I25" i="22"/>
  <c r="H25" i="22"/>
  <c r="G25" i="22"/>
  <c r="F25" i="22"/>
  <c r="E25" i="22"/>
  <c r="D25" i="22"/>
  <c r="C25" i="22"/>
  <c r="K18" i="23"/>
  <c r="K20" i="23"/>
  <c r="J18" i="23"/>
  <c r="J20" i="23"/>
  <c r="I18" i="23"/>
  <c r="I20" i="23"/>
  <c r="H18" i="23"/>
  <c r="H20" i="23"/>
  <c r="G18" i="23"/>
  <c r="G20" i="23"/>
  <c r="F18" i="23"/>
  <c r="F20" i="23"/>
  <c r="E18" i="23"/>
  <c r="E20" i="23"/>
  <c r="D18" i="23"/>
  <c r="D20" i="23"/>
  <c r="C18" i="23"/>
  <c r="C20" i="23"/>
  <c r="K11" i="23"/>
  <c r="K14" i="23"/>
  <c r="J11" i="23"/>
  <c r="J14" i="23"/>
  <c r="I11" i="23"/>
  <c r="I14" i="23"/>
  <c r="H11" i="23"/>
  <c r="H14" i="23"/>
  <c r="G11" i="23"/>
  <c r="G14" i="23"/>
  <c r="F11" i="23"/>
  <c r="F14" i="23"/>
  <c r="E11" i="23"/>
  <c r="E14" i="23"/>
  <c r="D11" i="23"/>
  <c r="D14" i="23"/>
  <c r="C11" i="23"/>
  <c r="C14" i="23"/>
  <c r="C21" i="26"/>
  <c r="C14" i="26"/>
  <c r="C8" i="26"/>
  <c r="L139" i="26"/>
  <c r="K139" i="26"/>
  <c r="J139" i="26"/>
  <c r="I139" i="26"/>
  <c r="H139" i="26"/>
  <c r="G139" i="26"/>
  <c r="F139" i="26"/>
  <c r="E139" i="26"/>
  <c r="D139" i="26"/>
  <c r="C135" i="26"/>
  <c r="L132" i="26"/>
  <c r="K132" i="26"/>
  <c r="J132" i="26"/>
  <c r="I132" i="26"/>
  <c r="H132" i="26"/>
  <c r="G132" i="26"/>
  <c r="F132" i="26"/>
  <c r="E132" i="26"/>
  <c r="D132" i="26"/>
  <c r="C128" i="26"/>
  <c r="L126" i="26"/>
  <c r="K126" i="26"/>
  <c r="J126" i="26"/>
  <c r="I126" i="26"/>
  <c r="H126" i="26"/>
  <c r="G126" i="26"/>
  <c r="F126" i="26"/>
  <c r="E126" i="26"/>
  <c r="D126" i="26"/>
  <c r="C122" i="26"/>
  <c r="L116" i="26"/>
  <c r="K116" i="26"/>
  <c r="J116" i="26"/>
  <c r="I116" i="26"/>
  <c r="H116" i="26"/>
  <c r="G116" i="26"/>
  <c r="F116" i="26"/>
  <c r="E116" i="26"/>
  <c r="D116" i="26"/>
  <c r="C112" i="26"/>
  <c r="L109" i="26"/>
  <c r="K109" i="26"/>
  <c r="J109" i="26"/>
  <c r="I109" i="26"/>
  <c r="H109" i="26"/>
  <c r="G109" i="26"/>
  <c r="F109" i="26"/>
  <c r="E109" i="26"/>
  <c r="D109" i="26"/>
  <c r="C105" i="26"/>
  <c r="L103" i="26"/>
  <c r="K103" i="26"/>
  <c r="J103" i="26"/>
  <c r="I103" i="26"/>
  <c r="H103" i="26"/>
  <c r="G103" i="26"/>
  <c r="F103" i="26"/>
  <c r="E103" i="26"/>
  <c r="D103" i="26"/>
  <c r="C99" i="26"/>
  <c r="L93" i="26"/>
  <c r="K93" i="26"/>
  <c r="J93" i="26"/>
  <c r="I93" i="26"/>
  <c r="H93" i="26"/>
  <c r="G93" i="26"/>
  <c r="F93" i="26"/>
  <c r="E93" i="26"/>
  <c r="D93" i="26"/>
  <c r="C89" i="26"/>
  <c r="L86" i="26"/>
  <c r="K86" i="26"/>
  <c r="J86" i="26"/>
  <c r="I86" i="26"/>
  <c r="H86" i="26"/>
  <c r="G86" i="26"/>
  <c r="F86" i="26"/>
  <c r="E86" i="26"/>
  <c r="D86" i="26"/>
  <c r="C82" i="26"/>
  <c r="L80" i="26"/>
  <c r="K80" i="26"/>
  <c r="J80" i="26"/>
  <c r="I80" i="26"/>
  <c r="H80" i="26"/>
  <c r="G80" i="26"/>
  <c r="F80" i="26"/>
  <c r="E80" i="26"/>
  <c r="D80" i="26"/>
  <c r="C76" i="26"/>
  <c r="L70" i="26"/>
  <c r="K70" i="26"/>
  <c r="J70" i="26"/>
  <c r="I70" i="26"/>
  <c r="H70" i="26"/>
  <c r="G70" i="26"/>
  <c r="F70" i="26"/>
  <c r="E70" i="26"/>
  <c r="D70" i="26"/>
  <c r="C66" i="26"/>
  <c r="L63" i="26"/>
  <c r="K63" i="26"/>
  <c r="J63" i="26"/>
  <c r="I63" i="26"/>
  <c r="H63" i="26"/>
  <c r="G63" i="26"/>
  <c r="F63" i="26"/>
  <c r="E63" i="26"/>
  <c r="D63" i="26"/>
  <c r="C59" i="26"/>
  <c r="L57" i="26"/>
  <c r="K57" i="26"/>
  <c r="J57" i="26"/>
  <c r="I57" i="26"/>
  <c r="H57" i="26"/>
  <c r="G57" i="26"/>
  <c r="F57" i="26"/>
  <c r="E57" i="26"/>
  <c r="D57" i="26"/>
  <c r="C53" i="26"/>
  <c r="L47" i="26"/>
  <c r="K47" i="26"/>
  <c r="J47" i="26"/>
  <c r="I47" i="26"/>
  <c r="H47" i="26"/>
  <c r="G47" i="26"/>
  <c r="F47" i="26"/>
  <c r="E47" i="26"/>
  <c r="D47" i="26"/>
  <c r="C43" i="26"/>
  <c r="L40" i="26"/>
  <c r="K40" i="26"/>
  <c r="J40" i="26"/>
  <c r="I40" i="26"/>
  <c r="H40" i="26"/>
  <c r="G40" i="26"/>
  <c r="F40" i="26"/>
  <c r="E40" i="26"/>
  <c r="D40" i="26"/>
  <c r="C36" i="26"/>
  <c r="L34" i="26"/>
  <c r="K34" i="26"/>
  <c r="J34" i="26"/>
  <c r="I34" i="26"/>
  <c r="H34" i="26"/>
  <c r="G34" i="26"/>
  <c r="F34" i="26"/>
  <c r="E34" i="26"/>
  <c r="D34" i="26"/>
  <c r="C30" i="26"/>
  <c r="L25" i="26"/>
  <c r="K25" i="26"/>
  <c r="J25" i="26"/>
  <c r="I25" i="26"/>
  <c r="H25" i="26"/>
  <c r="G25" i="26"/>
  <c r="F25" i="26"/>
  <c r="E25" i="26"/>
  <c r="D25" i="26"/>
  <c r="L18" i="26"/>
  <c r="K18" i="26"/>
  <c r="J18" i="26"/>
  <c r="I18" i="26"/>
  <c r="H18" i="26"/>
  <c r="G18" i="26"/>
  <c r="F18" i="26"/>
  <c r="E18" i="26"/>
  <c r="D18" i="26"/>
  <c r="L12" i="26"/>
  <c r="K12" i="26"/>
  <c r="J12" i="26"/>
  <c r="I12" i="26"/>
  <c r="H12" i="26"/>
  <c r="G12" i="26"/>
  <c r="F12" i="26"/>
  <c r="E12" i="26"/>
  <c r="D12" i="26"/>
  <c r="L6" i="25"/>
  <c r="C106" i="18"/>
  <c r="C50" i="11"/>
  <c r="C46" i="10"/>
  <c r="C8" i="19"/>
  <c r="C7" i="19"/>
  <c r="C95" i="12"/>
  <c r="D95" i="12"/>
  <c r="E95" i="12"/>
  <c r="F95" i="12"/>
  <c r="G95" i="12"/>
  <c r="C96" i="12"/>
  <c r="D96" i="12"/>
  <c r="E96" i="12"/>
  <c r="F96" i="12"/>
  <c r="G96" i="12"/>
  <c r="H96" i="12"/>
  <c r="I96" i="12"/>
  <c r="J96" i="12"/>
  <c r="K96" i="12"/>
  <c r="L96" i="12"/>
  <c r="C111" i="12"/>
  <c r="D111" i="12"/>
  <c r="E111" i="12"/>
  <c r="F111" i="12"/>
  <c r="G111" i="12"/>
  <c r="H111" i="12"/>
  <c r="I111" i="12"/>
  <c r="J111" i="12"/>
  <c r="K111" i="12"/>
  <c r="L111" i="12"/>
  <c r="C114" i="12"/>
  <c r="D114" i="12"/>
  <c r="E114" i="12"/>
  <c r="F114" i="12"/>
  <c r="G114" i="12"/>
  <c r="H114" i="12"/>
  <c r="I114" i="12"/>
  <c r="J114" i="12"/>
  <c r="K114" i="12"/>
  <c r="L114" i="12"/>
  <c r="C98" i="12"/>
  <c r="D98" i="12"/>
  <c r="E98" i="12"/>
  <c r="F98" i="12"/>
  <c r="G98" i="12"/>
  <c r="H98" i="12"/>
  <c r="I98" i="12"/>
  <c r="J98" i="12"/>
  <c r="K98" i="12"/>
  <c r="L98" i="12"/>
  <c r="L42" i="11"/>
  <c r="L43" i="11"/>
  <c r="L33" i="11"/>
  <c r="K33" i="11"/>
  <c r="J33" i="11"/>
  <c r="I33" i="11"/>
  <c r="H33" i="11"/>
  <c r="G33" i="11"/>
  <c r="F33" i="11"/>
  <c r="E33" i="11"/>
  <c r="D33" i="11"/>
  <c r="K42" i="11"/>
  <c r="K43" i="11"/>
  <c r="J42" i="11"/>
  <c r="I42" i="11"/>
  <c r="I43" i="11"/>
  <c r="H42" i="11"/>
  <c r="G42" i="11"/>
  <c r="F42" i="11"/>
  <c r="E42" i="11"/>
  <c r="D42" i="11"/>
  <c r="C42" i="11"/>
  <c r="C43" i="11"/>
  <c r="C35" i="11"/>
  <c r="C30" i="11"/>
  <c r="C32" i="11"/>
  <c r="C33" i="11"/>
  <c r="C34" i="11"/>
  <c r="C37" i="11"/>
  <c r="C45" i="11"/>
  <c r="C21" i="11"/>
  <c r="C10" i="11"/>
  <c r="J43" i="11"/>
  <c r="H43" i="11"/>
  <c r="G43" i="11"/>
  <c r="F43" i="11"/>
  <c r="E43" i="11"/>
  <c r="D43" i="11"/>
  <c r="C173" i="2"/>
  <c r="B139" i="12"/>
  <c r="B138" i="12"/>
  <c r="B137" i="12"/>
  <c r="B136" i="12"/>
  <c r="B135" i="12"/>
  <c r="B134" i="12"/>
  <c r="B133" i="12"/>
  <c r="B132" i="12"/>
  <c r="B131" i="12"/>
  <c r="B116" i="12"/>
  <c r="B114" i="12"/>
  <c r="B112" i="12"/>
  <c r="B111" i="12"/>
  <c r="B109" i="12"/>
  <c r="B108" i="12"/>
  <c r="B107" i="12"/>
  <c r="B106" i="12"/>
  <c r="B105" i="12"/>
  <c r="B104" i="12"/>
  <c r="B103" i="12"/>
  <c r="B102" i="12"/>
  <c r="B101" i="12"/>
  <c r="B99" i="12"/>
  <c r="B98" i="12"/>
  <c r="B96" i="12"/>
  <c r="B95" i="12"/>
  <c r="B87" i="12"/>
  <c r="B85" i="12"/>
  <c r="B83" i="12"/>
  <c r="B82" i="12"/>
  <c r="B80" i="12"/>
  <c r="B79" i="12"/>
  <c r="B78" i="12"/>
  <c r="B77" i="12"/>
  <c r="B76" i="12"/>
  <c r="B75" i="12"/>
  <c r="B74" i="12"/>
  <c r="B73" i="12"/>
  <c r="B72" i="12"/>
  <c r="B70" i="12"/>
  <c r="B69" i="12"/>
  <c r="B67" i="12"/>
  <c r="B66" i="12"/>
  <c r="B58" i="12"/>
  <c r="B56" i="12"/>
  <c r="B54" i="12"/>
  <c r="B53" i="12"/>
  <c r="B51" i="12"/>
  <c r="B50" i="12"/>
  <c r="B49" i="12"/>
  <c r="B48" i="12"/>
  <c r="B47" i="12"/>
  <c r="B46" i="12"/>
  <c r="B45" i="12"/>
  <c r="B44" i="12"/>
  <c r="B43" i="12"/>
  <c r="B41" i="12"/>
  <c r="B40" i="12"/>
  <c r="B38" i="12"/>
  <c r="B37" i="12"/>
  <c r="B29" i="12"/>
  <c r="B27" i="12"/>
  <c r="B25" i="12"/>
  <c r="B24" i="12"/>
  <c r="B22" i="12"/>
  <c r="B21" i="12"/>
  <c r="B20" i="12"/>
  <c r="B19" i="12"/>
  <c r="B18" i="12"/>
  <c r="B17" i="12"/>
  <c r="B16" i="12"/>
  <c r="B15" i="12"/>
  <c r="B14" i="12"/>
  <c r="B12" i="12"/>
  <c r="B11" i="12"/>
  <c r="B9" i="12"/>
  <c r="B8" i="12"/>
  <c r="D37" i="2"/>
  <c r="B37" i="25"/>
  <c r="B45" i="25"/>
  <c r="B53" i="25"/>
  <c r="B36" i="25"/>
  <c r="B44" i="25"/>
  <c r="B52" i="25"/>
  <c r="B35" i="25"/>
  <c r="B43" i="25"/>
  <c r="B51" i="25"/>
  <c r="B34" i="25"/>
  <c r="B42" i="25"/>
  <c r="B50" i="25"/>
  <c r="L24" i="25"/>
  <c r="L33" i="25"/>
  <c r="L41" i="25"/>
  <c r="L49" i="25"/>
  <c r="K24" i="25"/>
  <c r="K33" i="25"/>
  <c r="K41" i="25"/>
  <c r="K49" i="25"/>
  <c r="J24" i="25"/>
  <c r="J33" i="25"/>
  <c r="J41" i="25"/>
  <c r="J49" i="25"/>
  <c r="I24" i="25"/>
  <c r="I33" i="25"/>
  <c r="I41" i="25"/>
  <c r="I49" i="25"/>
  <c r="H24" i="25"/>
  <c r="H33" i="25"/>
  <c r="H41" i="25"/>
  <c r="H49" i="25"/>
  <c r="G24" i="25"/>
  <c r="G33" i="25"/>
  <c r="G41" i="25"/>
  <c r="G49" i="25"/>
  <c r="F24" i="25"/>
  <c r="F33" i="25"/>
  <c r="F41" i="25"/>
  <c r="F49" i="25"/>
  <c r="E24" i="25"/>
  <c r="E33" i="25"/>
  <c r="E41" i="25"/>
  <c r="E49" i="25"/>
  <c r="D24" i="25"/>
  <c r="D33" i="25"/>
  <c r="D41" i="25"/>
  <c r="D49" i="25"/>
  <c r="B41" i="25"/>
  <c r="B49" i="25"/>
  <c r="B9" i="3"/>
  <c r="B20" i="25"/>
  <c r="B8" i="3"/>
  <c r="B15" i="3"/>
  <c r="B22" i="3"/>
  <c r="B31" i="3"/>
  <c r="B7" i="3"/>
  <c r="B14" i="3"/>
  <c r="B21" i="3"/>
  <c r="B30" i="3"/>
  <c r="B18" i="25"/>
  <c r="B25" i="25"/>
  <c r="B32" i="25"/>
  <c r="K6" i="25"/>
  <c r="J6" i="25"/>
  <c r="I6" i="25"/>
  <c r="H6" i="25"/>
  <c r="G6" i="25"/>
  <c r="F6" i="25"/>
  <c r="E6" i="25"/>
  <c r="D6" i="25"/>
  <c r="E100" i="2"/>
  <c r="C22" i="14"/>
  <c r="C13" i="14"/>
  <c r="C4" i="14"/>
  <c r="C34" i="14"/>
  <c r="C36" i="14"/>
  <c r="C35" i="14"/>
  <c r="C25" i="13"/>
  <c r="C24" i="13"/>
  <c r="C23" i="13"/>
  <c r="C22" i="13"/>
  <c r="B24" i="25"/>
  <c r="C42" i="24"/>
  <c r="C41" i="24"/>
  <c r="C40" i="24"/>
  <c r="C39" i="24"/>
  <c r="C38" i="24"/>
  <c r="C37" i="24"/>
  <c r="C36" i="24"/>
  <c r="C35" i="24"/>
  <c r="C34" i="24"/>
  <c r="C33" i="24"/>
  <c r="L32" i="24"/>
  <c r="K32" i="24"/>
  <c r="J32" i="24"/>
  <c r="I32" i="24"/>
  <c r="H32" i="24"/>
  <c r="G32" i="24"/>
  <c r="F32" i="24"/>
  <c r="E32" i="24"/>
  <c r="D32" i="24"/>
  <c r="C32" i="24"/>
  <c r="B32" i="24"/>
  <c r="C28" i="24"/>
  <c r="C27" i="24"/>
  <c r="C26" i="24"/>
  <c r="C25" i="24"/>
  <c r="C24" i="24"/>
  <c r="C23" i="24"/>
  <c r="C22" i="24"/>
  <c r="C21" i="24"/>
  <c r="C20" i="24"/>
  <c r="C19" i="24"/>
  <c r="L18" i="24"/>
  <c r="K18" i="24"/>
  <c r="J18" i="24"/>
  <c r="I18" i="24"/>
  <c r="H18" i="24"/>
  <c r="G18" i="24"/>
  <c r="F18" i="24"/>
  <c r="E18" i="24"/>
  <c r="D18" i="24"/>
  <c r="C18" i="24"/>
  <c r="B18" i="24"/>
  <c r="C14" i="24"/>
  <c r="C13" i="24"/>
  <c r="C12" i="24"/>
  <c r="C11" i="24"/>
  <c r="C10" i="24"/>
  <c r="C9" i="24"/>
  <c r="C8" i="24"/>
  <c r="C7" i="24"/>
  <c r="C6" i="24"/>
  <c r="C5" i="24"/>
  <c r="L4" i="24"/>
  <c r="K4" i="24"/>
  <c r="J4" i="24"/>
  <c r="I4" i="24"/>
  <c r="H4" i="24"/>
  <c r="G4" i="24"/>
  <c r="F4" i="24"/>
  <c r="E4" i="24"/>
  <c r="D4" i="24"/>
  <c r="C4" i="24"/>
  <c r="B4" i="24"/>
  <c r="C84" i="9"/>
  <c r="C74" i="9"/>
  <c r="C64" i="9"/>
  <c r="C54" i="9"/>
  <c r="C44" i="9"/>
  <c r="C34" i="9"/>
  <c r="C24" i="9"/>
  <c r="C14" i="9"/>
  <c r="C4" i="9"/>
  <c r="C26" i="4"/>
  <c r="C16" i="4"/>
  <c r="C40" i="4"/>
  <c r="C6" i="4"/>
  <c r="C41" i="4"/>
  <c r="C39" i="4"/>
  <c r="B8" i="1"/>
  <c r="B9" i="1"/>
  <c r="B7" i="1"/>
  <c r="E77" i="2"/>
  <c r="E71" i="2"/>
  <c r="E65" i="2"/>
  <c r="E64" i="2"/>
  <c r="E59" i="2"/>
  <c r="E58" i="2"/>
  <c r="E57" i="2"/>
  <c r="E56" i="2"/>
  <c r="D100" i="2"/>
  <c r="C100" i="2"/>
  <c r="B27" i="25"/>
  <c r="B48" i="25"/>
  <c r="C63" i="13"/>
  <c r="B16" i="3"/>
  <c r="B23" i="3"/>
  <c r="B32" i="3"/>
  <c r="C5" i="13"/>
  <c r="C104" i="12"/>
  <c r="D104" i="12"/>
  <c r="E104" i="12"/>
  <c r="F104" i="12"/>
  <c r="G104" i="12"/>
  <c r="H104" i="12"/>
  <c r="I104" i="12"/>
  <c r="J104" i="12"/>
  <c r="K104" i="12"/>
  <c r="L104" i="12"/>
  <c r="C103" i="12"/>
  <c r="D103" i="12"/>
  <c r="E103" i="12"/>
  <c r="F103" i="12"/>
  <c r="G103" i="12"/>
  <c r="H103" i="12"/>
  <c r="I103" i="12"/>
  <c r="J103" i="12"/>
  <c r="K103" i="12"/>
  <c r="L103" i="12"/>
  <c r="C107" i="12"/>
  <c r="D107" i="12"/>
  <c r="E107" i="12"/>
  <c r="F107" i="12"/>
  <c r="G107" i="12"/>
  <c r="H107" i="12"/>
  <c r="I107" i="12"/>
  <c r="J107" i="12"/>
  <c r="K107" i="12"/>
  <c r="L107" i="12"/>
  <c r="C105" i="12"/>
  <c r="D105" i="12"/>
  <c r="E105" i="12"/>
  <c r="F105" i="12"/>
  <c r="G105" i="12"/>
  <c r="H105" i="12"/>
  <c r="I105" i="12"/>
  <c r="J105" i="12"/>
  <c r="K105" i="12"/>
  <c r="L105" i="12"/>
  <c r="E50" i="2"/>
  <c r="C109" i="12"/>
  <c r="D109" i="12"/>
  <c r="E109" i="12"/>
  <c r="F109" i="12"/>
  <c r="G109" i="12"/>
  <c r="H109" i="12"/>
  <c r="I109" i="12"/>
  <c r="J109" i="12"/>
  <c r="K109" i="12"/>
  <c r="L109" i="12"/>
  <c r="C178" i="2"/>
  <c r="B19" i="25"/>
  <c r="H95" i="12"/>
  <c r="C101" i="12"/>
  <c r="D101" i="12"/>
  <c r="E101" i="12"/>
  <c r="C102" i="12"/>
  <c r="D102" i="12"/>
  <c r="E102" i="12"/>
  <c r="F102" i="12"/>
  <c r="G102" i="12"/>
  <c r="H102" i="12"/>
  <c r="I102" i="12"/>
  <c r="J102" i="12"/>
  <c r="K102" i="12"/>
  <c r="L102" i="12"/>
  <c r="C106" i="12"/>
  <c r="D106" i="12"/>
  <c r="E106" i="12"/>
  <c r="F106" i="12"/>
  <c r="G106" i="12"/>
  <c r="H106" i="12"/>
  <c r="I106" i="12"/>
  <c r="J106" i="12"/>
  <c r="K106" i="12"/>
  <c r="L106" i="12"/>
  <c r="C108" i="12"/>
  <c r="D108" i="12"/>
  <c r="E108" i="12"/>
  <c r="F108" i="12"/>
  <c r="G108" i="12"/>
  <c r="H108" i="12"/>
  <c r="I108" i="12"/>
  <c r="J108" i="12"/>
  <c r="K108" i="12"/>
  <c r="L108" i="12"/>
  <c r="D49" i="11"/>
  <c r="E49" i="11"/>
  <c r="F49" i="11"/>
  <c r="G49" i="11"/>
  <c r="H49" i="11"/>
  <c r="I49" i="11"/>
  <c r="J49" i="11"/>
  <c r="K49" i="11"/>
  <c r="L49" i="11"/>
  <c r="C51" i="11"/>
  <c r="C53" i="11"/>
  <c r="C116" i="12"/>
  <c r="D116" i="12"/>
  <c r="E116" i="12"/>
  <c r="F116" i="12"/>
  <c r="G116" i="12"/>
  <c r="H116" i="12"/>
  <c r="I116" i="12"/>
  <c r="J116" i="12"/>
  <c r="K116" i="12"/>
  <c r="L116" i="12"/>
  <c r="I95" i="12"/>
  <c r="C99" i="12"/>
  <c r="D99" i="12"/>
  <c r="E99" i="12"/>
  <c r="F99" i="12"/>
  <c r="G99" i="12"/>
  <c r="H99" i="12"/>
  <c r="I99" i="12"/>
  <c r="J99" i="12"/>
  <c r="K99" i="12"/>
  <c r="L99" i="12"/>
  <c r="C31" i="12"/>
  <c r="B26" i="25"/>
  <c r="C34" i="13"/>
  <c r="B40" i="25"/>
  <c r="C12" i="11"/>
  <c r="C112" i="12"/>
  <c r="D112" i="12"/>
  <c r="E112" i="12"/>
  <c r="F112" i="12"/>
  <c r="G112" i="12"/>
  <c r="H112" i="12"/>
  <c r="I112" i="12"/>
  <c r="J112" i="12"/>
  <c r="K112" i="12"/>
  <c r="L112" i="12"/>
  <c r="C124" i="12"/>
  <c r="J95" i="12"/>
  <c r="D118" i="12"/>
  <c r="D125" i="12"/>
  <c r="E18" i="11"/>
  <c r="F101" i="12"/>
  <c r="E118" i="12"/>
  <c r="E125" i="12"/>
  <c r="F18" i="11"/>
  <c r="J17" i="11"/>
  <c r="L17" i="11"/>
  <c r="G17" i="11"/>
  <c r="F17" i="11"/>
  <c r="E17" i="11"/>
  <c r="D17" i="11"/>
  <c r="K17" i="11"/>
  <c r="I17" i="11"/>
  <c r="H17" i="11"/>
  <c r="C160" i="2"/>
  <c r="C60" i="12"/>
  <c r="C123" i="12"/>
  <c r="C118" i="12"/>
  <c r="C125" i="12"/>
  <c r="D18" i="11"/>
  <c r="C17" i="11"/>
  <c r="G101" i="12"/>
  <c r="F118" i="12"/>
  <c r="F125" i="12"/>
  <c r="G18" i="11"/>
  <c r="D58" i="13"/>
  <c r="K95" i="12"/>
  <c r="D87" i="13"/>
  <c r="D60" i="12"/>
  <c r="D123" i="12"/>
  <c r="E58" i="13"/>
  <c r="L95" i="12"/>
  <c r="H101" i="12"/>
  <c r="G118" i="12"/>
  <c r="G125" i="12"/>
  <c r="H18" i="11"/>
  <c r="E87" i="13"/>
  <c r="E60" i="12"/>
  <c r="E123" i="12"/>
  <c r="F124" i="12"/>
  <c r="I101" i="12"/>
  <c r="H118" i="12"/>
  <c r="H125" i="12"/>
  <c r="I18" i="11"/>
  <c r="E124" i="12"/>
  <c r="F87" i="13"/>
  <c r="F58" i="13"/>
  <c r="F60" i="12"/>
  <c r="F123" i="12"/>
  <c r="D124" i="12"/>
  <c r="G87" i="13"/>
  <c r="C18" i="11"/>
  <c r="C22" i="11"/>
  <c r="J101" i="12"/>
  <c r="I118" i="12"/>
  <c r="I125" i="12"/>
  <c r="J18" i="11"/>
  <c r="G60" i="12"/>
  <c r="G123" i="12"/>
  <c r="G58" i="13"/>
  <c r="L48" i="12"/>
  <c r="L77" i="12"/>
  <c r="L51" i="12"/>
  <c r="L80" i="12"/>
  <c r="H60" i="12"/>
  <c r="H123" i="12"/>
  <c r="K101" i="12"/>
  <c r="J118" i="12"/>
  <c r="J125" i="12"/>
  <c r="K18" i="11"/>
  <c r="L56" i="12"/>
  <c r="L85" i="12"/>
  <c r="H58" i="13"/>
  <c r="H87" i="13"/>
  <c r="G124" i="12"/>
  <c r="I87" i="13"/>
  <c r="I58" i="13"/>
  <c r="I60" i="12"/>
  <c r="I123" i="12"/>
  <c r="L37" i="12"/>
  <c r="L49" i="12"/>
  <c r="L78" i="12"/>
  <c r="L53" i="12"/>
  <c r="L82" i="12"/>
  <c r="L43" i="12"/>
  <c r="L72" i="12"/>
  <c r="L50" i="12"/>
  <c r="L79" i="12"/>
  <c r="L44" i="12"/>
  <c r="L73" i="12"/>
  <c r="L38" i="12"/>
  <c r="L67" i="12"/>
  <c r="H124" i="12"/>
  <c r="L40" i="12"/>
  <c r="L69" i="12"/>
  <c r="L101" i="12"/>
  <c r="L118" i="12"/>
  <c r="L125" i="12"/>
  <c r="K118" i="12"/>
  <c r="K125" i="12"/>
  <c r="L18" i="11"/>
  <c r="L46" i="12"/>
  <c r="L75" i="12"/>
  <c r="J58" i="13"/>
  <c r="I124" i="12"/>
  <c r="L45" i="12"/>
  <c r="L74" i="12"/>
  <c r="J60" i="12"/>
  <c r="J123" i="12"/>
  <c r="L47" i="12"/>
  <c r="L76" i="12"/>
  <c r="J87" i="13"/>
  <c r="L66" i="12"/>
  <c r="K124" i="12"/>
  <c r="L41" i="12"/>
  <c r="L70" i="12"/>
  <c r="K60" i="12"/>
  <c r="K123" i="12"/>
  <c r="L54" i="12"/>
  <c r="L83" i="12"/>
  <c r="L58" i="12"/>
  <c r="L87" i="12"/>
  <c r="K87" i="13"/>
  <c r="J124" i="12"/>
  <c r="L89" i="12"/>
  <c r="L124" i="12"/>
  <c r="K58" i="13"/>
  <c r="L60" i="12"/>
  <c r="L123" i="12"/>
  <c r="L30" i="4"/>
  <c r="L87" i="13"/>
  <c r="L20" i="4"/>
  <c r="L58" i="13"/>
  <c r="C159" i="2"/>
  <c r="C163" i="2"/>
  <c r="C180" i="2"/>
  <c r="C13" i="11"/>
  <c r="C14" i="11"/>
  <c r="C24" i="11"/>
  <c r="C57" i="11"/>
  <c r="D29" i="13"/>
  <c r="E29" i="13"/>
  <c r="F29" i="13"/>
  <c r="G29" i="13"/>
  <c r="D32" i="11"/>
  <c r="D96" i="21"/>
  <c r="D30" i="24"/>
  <c r="D99" i="21"/>
  <c r="D97" i="21"/>
  <c r="D16" i="24"/>
  <c r="D98" i="21"/>
  <c r="D102" i="21"/>
  <c r="D9" i="11"/>
  <c r="D95" i="21"/>
  <c r="D44" i="24"/>
  <c r="D103" i="21"/>
  <c r="D101" i="21"/>
  <c r="D100" i="21"/>
  <c r="H29" i="13"/>
  <c r="E77" i="21"/>
  <c r="E87" i="21"/>
  <c r="I29" i="13"/>
  <c r="E102" i="21"/>
  <c r="E78" i="21"/>
  <c r="D29" i="6"/>
  <c r="D60" i="13"/>
  <c r="D89" i="13"/>
  <c r="D106" i="21"/>
  <c r="D31" i="13"/>
  <c r="F87" i="21"/>
  <c r="J29" i="13"/>
  <c r="D12" i="11"/>
  <c r="E103" i="21"/>
  <c r="E88" i="21"/>
  <c r="D30" i="6"/>
  <c r="E32" i="11"/>
  <c r="F103" i="21"/>
  <c r="F88" i="21"/>
  <c r="E30" i="6"/>
  <c r="F77" i="21"/>
  <c r="D13" i="11"/>
  <c r="E16" i="24"/>
  <c r="E96" i="21"/>
  <c r="E101" i="21"/>
  <c r="G77" i="21"/>
  <c r="K29" i="13"/>
  <c r="E30" i="24"/>
  <c r="F32" i="11"/>
  <c r="G87" i="21"/>
  <c r="E99" i="21"/>
  <c r="E98" i="21"/>
  <c r="E95" i="21"/>
  <c r="F102" i="21"/>
  <c r="F78" i="21"/>
  <c r="E29" i="6"/>
  <c r="E100" i="21"/>
  <c r="E97" i="21"/>
  <c r="E44" i="24"/>
  <c r="L10" i="4"/>
  <c r="E31" i="13"/>
  <c r="E89" i="13"/>
  <c r="L29" i="13"/>
  <c r="H87" i="21"/>
  <c r="D25" i="6"/>
  <c r="E60" i="13"/>
  <c r="D24" i="6"/>
  <c r="E106" i="21"/>
  <c r="D28" i="6"/>
  <c r="D22" i="6"/>
  <c r="D27" i="6"/>
  <c r="G103" i="21"/>
  <c r="G88" i="21"/>
  <c r="F30" i="6"/>
  <c r="D26" i="6"/>
  <c r="H77" i="21"/>
  <c r="G102" i="21"/>
  <c r="G78" i="21"/>
  <c r="F29" i="6"/>
  <c r="D23" i="6"/>
  <c r="H103" i="21"/>
  <c r="H88" i="21"/>
  <c r="G30" i="6"/>
  <c r="H102" i="21"/>
  <c r="H78" i="21"/>
  <c r="G29" i="6"/>
  <c r="D32" i="6"/>
  <c r="E12" i="11"/>
  <c r="I77" i="21"/>
  <c r="I87" i="21"/>
  <c r="I102" i="21"/>
  <c r="I78" i="21"/>
  <c r="H29" i="6"/>
  <c r="J77" i="21"/>
  <c r="G32" i="11"/>
  <c r="L48" i="9"/>
  <c r="F95" i="21"/>
  <c r="F44" i="24"/>
  <c r="L58" i="9"/>
  <c r="F16" i="24"/>
  <c r="F101" i="21"/>
  <c r="L68" i="9"/>
  <c r="F100" i="21"/>
  <c r="F30" i="24"/>
  <c r="F97" i="21"/>
  <c r="F96" i="21"/>
  <c r="E13" i="11"/>
  <c r="J102" i="21"/>
  <c r="J78" i="21"/>
  <c r="I29" i="6"/>
  <c r="F98" i="21"/>
  <c r="I103" i="21"/>
  <c r="I88" i="21"/>
  <c r="H30" i="6"/>
  <c r="F99" i="21"/>
  <c r="L78" i="9"/>
  <c r="L8" i="9"/>
  <c r="K77" i="21"/>
  <c r="E24" i="6"/>
  <c r="F60" i="13"/>
  <c r="F31" i="13"/>
  <c r="E25" i="6"/>
  <c r="E26" i="6"/>
  <c r="E22" i="6"/>
  <c r="J87" i="21"/>
  <c r="F106" i="21"/>
  <c r="L77" i="21"/>
  <c r="E28" i="6"/>
  <c r="L28" i="9"/>
  <c r="E23" i="6"/>
  <c r="E27" i="6"/>
  <c r="F89" i="13"/>
  <c r="E32" i="6"/>
  <c r="F12" i="11"/>
  <c r="H32" i="11"/>
  <c r="L102" i="21"/>
  <c r="L78" i="21"/>
  <c r="K29" i="6"/>
  <c r="K102" i="21"/>
  <c r="K78" i="21"/>
  <c r="J29" i="6"/>
  <c r="J103" i="21"/>
  <c r="J88" i="21"/>
  <c r="I30" i="6"/>
  <c r="L18" i="9"/>
  <c r="L88" i="9"/>
  <c r="K87" i="21"/>
  <c r="L38" i="9"/>
  <c r="K103" i="21"/>
  <c r="K88" i="21"/>
  <c r="J30" i="6"/>
  <c r="G44" i="24"/>
  <c r="G101" i="21"/>
  <c r="G30" i="24"/>
  <c r="G97" i="21"/>
  <c r="G100" i="21"/>
  <c r="G95" i="21"/>
  <c r="G96" i="21"/>
  <c r="F13" i="11"/>
  <c r="G98" i="21"/>
  <c r="L87" i="21"/>
  <c r="G99" i="21"/>
  <c r="G16" i="24"/>
  <c r="L103" i="21"/>
  <c r="L88" i="21"/>
  <c r="K30" i="6"/>
  <c r="F28" i="6"/>
  <c r="F23" i="6"/>
  <c r="F25" i="6"/>
  <c r="F22" i="6"/>
  <c r="G31" i="13"/>
  <c r="F24" i="6"/>
  <c r="F26" i="6"/>
  <c r="G89" i="13"/>
  <c r="G60" i="13"/>
  <c r="I32" i="11"/>
  <c r="G106" i="21"/>
  <c r="F27" i="6"/>
  <c r="F32" i="6"/>
  <c r="G12" i="11"/>
  <c r="H97" i="21"/>
  <c r="H99" i="21"/>
  <c r="H96" i="21"/>
  <c r="J32" i="11"/>
  <c r="H30" i="24"/>
  <c r="H101" i="21"/>
  <c r="G13" i="11"/>
  <c r="H16" i="24"/>
  <c r="H100" i="21"/>
  <c r="H44" i="24"/>
  <c r="H98" i="21"/>
  <c r="H95" i="21"/>
  <c r="H31" i="13"/>
  <c r="G24" i="6"/>
  <c r="G22" i="6"/>
  <c r="G26" i="6"/>
  <c r="G23" i="6"/>
  <c r="H89" i="13"/>
  <c r="H106" i="21"/>
  <c r="H60" i="13"/>
  <c r="G28" i="6"/>
  <c r="G27" i="6"/>
  <c r="G25" i="6"/>
  <c r="G32" i="6"/>
  <c r="H12" i="11"/>
  <c r="K32" i="11"/>
  <c r="I100" i="21"/>
  <c r="I101" i="21"/>
  <c r="I44" i="24"/>
  <c r="I99" i="21"/>
  <c r="H13" i="11"/>
  <c r="I97" i="21"/>
  <c r="I98" i="21"/>
  <c r="I96" i="21"/>
  <c r="I95" i="21"/>
  <c r="I16" i="24"/>
  <c r="I30" i="24"/>
  <c r="H24" i="6"/>
  <c r="H28" i="6"/>
  <c r="I31" i="13"/>
  <c r="H23" i="6"/>
  <c r="H25" i="6"/>
  <c r="H26" i="6"/>
  <c r="I89" i="13"/>
  <c r="H22" i="6"/>
  <c r="H27" i="6"/>
  <c r="I106" i="21"/>
  <c r="I60" i="13"/>
  <c r="L32" i="11"/>
  <c r="H32" i="6"/>
  <c r="I12" i="11"/>
  <c r="I13" i="11"/>
  <c r="J100" i="21"/>
  <c r="J97" i="21"/>
  <c r="J96" i="21"/>
  <c r="J16" i="24"/>
  <c r="J99" i="21"/>
  <c r="J44" i="24"/>
  <c r="J101" i="21"/>
  <c r="J95" i="21"/>
  <c r="J98" i="21"/>
  <c r="J30" i="24"/>
  <c r="J89" i="13"/>
  <c r="I26" i="6"/>
  <c r="J106" i="21"/>
  <c r="I25" i="6"/>
  <c r="J31" i="13"/>
  <c r="J60" i="13"/>
  <c r="I24" i="6"/>
  <c r="I27" i="6"/>
  <c r="I22" i="6"/>
  <c r="I28" i="6"/>
  <c r="I23" i="6"/>
  <c r="I32" i="6"/>
  <c r="J12" i="11"/>
  <c r="J13" i="11"/>
  <c r="K101" i="21"/>
  <c r="K95" i="21"/>
  <c r="K16" i="24"/>
  <c r="K30" i="24"/>
  <c r="K100" i="21"/>
  <c r="K44" i="24"/>
  <c r="K99" i="21"/>
  <c r="K98" i="21"/>
  <c r="K97" i="21"/>
  <c r="K96" i="21"/>
  <c r="J24" i="6"/>
  <c r="J27" i="6"/>
  <c r="J22" i="6"/>
  <c r="K89" i="13"/>
  <c r="J23" i="6"/>
  <c r="K106" i="21"/>
  <c r="K60" i="13"/>
  <c r="K31" i="13"/>
  <c r="J25" i="6"/>
  <c r="J28" i="6"/>
  <c r="J26" i="6"/>
  <c r="J32" i="6"/>
  <c r="K12" i="11"/>
  <c r="L27" i="21"/>
  <c r="L47" i="21"/>
  <c r="L37" i="21"/>
  <c r="L67" i="21"/>
  <c r="L17" i="21"/>
  <c r="L7" i="21"/>
  <c r="L57" i="21"/>
  <c r="L30" i="24"/>
  <c r="L99" i="21"/>
  <c r="L48" i="21"/>
  <c r="K26" i="6"/>
  <c r="L101" i="21"/>
  <c r="L68" i="21"/>
  <c r="K28" i="6"/>
  <c r="L98" i="21"/>
  <c r="L38" i="21"/>
  <c r="K25" i="6"/>
  <c r="L16" i="24"/>
  <c r="L96" i="21"/>
  <c r="L18" i="21"/>
  <c r="K23" i="6"/>
  <c r="L97" i="21"/>
  <c r="L28" i="21"/>
  <c r="K24" i="6"/>
  <c r="L44" i="24"/>
  <c r="K13" i="11"/>
  <c r="L100" i="21"/>
  <c r="L58" i="21"/>
  <c r="K27" i="6"/>
  <c r="L95" i="21"/>
  <c r="L8" i="21"/>
  <c r="K22" i="6"/>
  <c r="K32" i="6"/>
  <c r="L12" i="11"/>
  <c r="L31" i="13"/>
  <c r="L60" i="13"/>
  <c r="L106" i="21"/>
  <c r="L89" i="13"/>
  <c r="L26" i="14"/>
  <c r="L8" i="14"/>
  <c r="L17" i="14"/>
  <c r="L13" i="11"/>
  <c r="F21" i="11"/>
  <c r="F22" i="11"/>
  <c r="E21" i="11"/>
  <c r="E22" i="11"/>
  <c r="G21" i="11"/>
  <c r="G22" i="11"/>
  <c r="D21" i="11"/>
  <c r="D22" i="11"/>
  <c r="H21" i="11"/>
  <c r="H22" i="11"/>
  <c r="I21" i="11"/>
  <c r="I22" i="11"/>
  <c r="J21" i="11"/>
  <c r="J22" i="11"/>
  <c r="J119" i="18"/>
  <c r="K21" i="11"/>
  <c r="K22" i="11"/>
  <c r="K116" i="18"/>
  <c r="K70" i="18"/>
  <c r="K72" i="18"/>
  <c r="K71" i="18"/>
  <c r="K73" i="18"/>
  <c r="K74" i="18"/>
  <c r="K76" i="18"/>
  <c r="K75" i="18"/>
  <c r="J112" i="18"/>
  <c r="J114" i="18"/>
  <c r="K111" i="18"/>
  <c r="K77" i="18"/>
  <c r="K78" i="18"/>
  <c r="K80" i="18"/>
  <c r="K81" i="18"/>
  <c r="K82" i="18"/>
  <c r="K117" i="18"/>
  <c r="K57" i="18"/>
  <c r="K58" i="18"/>
  <c r="K59" i="18"/>
  <c r="K60" i="18"/>
  <c r="K61" i="18"/>
  <c r="K62" i="18"/>
  <c r="K118" i="18"/>
  <c r="K119" i="18"/>
  <c r="L21" i="11"/>
  <c r="L22" i="11"/>
  <c r="D88" i="18"/>
  <c r="D90" i="18"/>
  <c r="D91" i="18"/>
  <c r="D89" i="18"/>
  <c r="D92" i="18"/>
  <c r="D93" i="18"/>
  <c r="D94" i="18"/>
  <c r="D95" i="18"/>
  <c r="E88" i="18"/>
  <c r="E90" i="18"/>
  <c r="E91" i="18"/>
  <c r="E89" i="18"/>
  <c r="E92" i="18"/>
  <c r="E93" i="18"/>
  <c r="E94" i="18"/>
  <c r="E95" i="18"/>
  <c r="F88" i="18"/>
  <c r="F90" i="18"/>
  <c r="F91" i="18"/>
  <c r="F89" i="18"/>
  <c r="F92" i="18"/>
  <c r="F93" i="18"/>
  <c r="F94" i="18"/>
  <c r="F95" i="18"/>
  <c r="G88" i="18"/>
  <c r="G90" i="18"/>
  <c r="G91" i="18"/>
  <c r="G89" i="18"/>
  <c r="G92" i="18"/>
  <c r="G93" i="18"/>
  <c r="G94" i="18"/>
  <c r="G95" i="18"/>
  <c r="H88" i="18"/>
  <c r="H90" i="18"/>
  <c r="H91" i="18"/>
  <c r="H89" i="18"/>
  <c r="H92" i="18"/>
  <c r="H93" i="18"/>
  <c r="H94" i="18"/>
  <c r="H95" i="18"/>
  <c r="I88" i="18"/>
  <c r="I90" i="18"/>
  <c r="I91" i="18"/>
  <c r="I89" i="18"/>
  <c r="I92" i="18"/>
  <c r="I93" i="18"/>
  <c r="I94" i="18"/>
  <c r="I95" i="18"/>
  <c r="J88" i="18"/>
  <c r="J90" i="18"/>
  <c r="J91" i="18"/>
  <c r="J89" i="18"/>
  <c r="J92" i="18"/>
  <c r="J93" i="18"/>
  <c r="J94" i="18"/>
  <c r="J95" i="18"/>
  <c r="K88" i="18"/>
  <c r="K90" i="18"/>
  <c r="K91" i="18"/>
  <c r="K89" i="18"/>
  <c r="K92" i="18"/>
  <c r="K93" i="18"/>
  <c r="K94" i="18"/>
  <c r="K95" i="18"/>
  <c r="C88" i="18"/>
  <c r="C90" i="18"/>
  <c r="C91" i="18"/>
  <c r="C89" i="18"/>
  <c r="C92" i="18"/>
  <c r="C93" i="18"/>
  <c r="C94" i="18"/>
  <c r="C95" i="18"/>
  <c r="K63" i="18"/>
  <c r="K65" i="18"/>
  <c r="K17" i="18"/>
  <c r="K16" i="18"/>
  <c r="K108" i="18"/>
  <c r="K15" i="18"/>
  <c r="K14" i="18"/>
  <c r="K18" i="18"/>
  <c r="K20" i="18"/>
  <c r="K113" i="18"/>
  <c r="K38" i="18"/>
  <c r="K39" i="18"/>
  <c r="K37" i="18"/>
  <c r="K40" i="18"/>
  <c r="K42" i="18"/>
  <c r="D84" i="18"/>
  <c r="E84" i="18"/>
  <c r="F84" i="18"/>
  <c r="G84" i="18"/>
  <c r="H84" i="18"/>
  <c r="I84" i="18"/>
  <c r="J84" i="18"/>
  <c r="K84" i="18"/>
  <c r="C84" i="18"/>
  <c r="C79" i="18"/>
  <c r="C83" i="18"/>
  <c r="C64" i="18"/>
  <c r="D64" i="18"/>
  <c r="E64" i="18"/>
  <c r="F64" i="18"/>
  <c r="G64" i="18"/>
  <c r="H64" i="18"/>
  <c r="I64" i="18"/>
  <c r="J64" i="18"/>
  <c r="K64" i="18"/>
  <c r="C66" i="18"/>
  <c r="D66" i="18"/>
  <c r="E66" i="18"/>
  <c r="F66" i="18"/>
  <c r="G66" i="18"/>
  <c r="H66" i="18"/>
  <c r="I66" i="18"/>
  <c r="J66" i="18"/>
  <c r="K66" i="18"/>
  <c r="K112" i="18"/>
  <c r="K114" i="18"/>
  <c r="K109" i="18"/>
  <c r="E35" i="11"/>
  <c r="E37" i="11"/>
  <c r="E45" i="11"/>
  <c r="E47" i="10"/>
  <c r="F35" i="11"/>
  <c r="F37" i="11"/>
  <c r="F45" i="11"/>
  <c r="F47" i="10"/>
  <c r="E50" i="11"/>
  <c r="E51" i="11"/>
  <c r="E53" i="11"/>
  <c r="E8" i="11"/>
  <c r="E14" i="11"/>
  <c r="E24" i="11"/>
  <c r="E57" i="11"/>
  <c r="G35" i="11"/>
  <c r="G37" i="11"/>
  <c r="G45" i="11"/>
  <c r="G47" i="10"/>
  <c r="F50" i="11"/>
  <c r="F7" i="19"/>
  <c r="F51" i="11"/>
  <c r="F53" i="11"/>
  <c r="F8" i="11"/>
  <c r="F14" i="11"/>
  <c r="F24" i="11"/>
  <c r="F57" i="11"/>
  <c r="H35" i="11"/>
  <c r="H37" i="11"/>
  <c r="H45" i="11"/>
  <c r="H47" i="10"/>
  <c r="G50" i="11"/>
  <c r="G7" i="19"/>
  <c r="G51" i="11"/>
  <c r="G53" i="11"/>
  <c r="G8" i="11"/>
  <c r="G14" i="11"/>
  <c r="G24" i="11"/>
  <c r="G57" i="11"/>
  <c r="I35" i="11"/>
  <c r="I37" i="11"/>
  <c r="I45" i="11"/>
  <c r="I47" i="10"/>
  <c r="J35" i="11"/>
  <c r="J37" i="11"/>
  <c r="J45" i="11"/>
  <c r="H50" i="11"/>
  <c r="H7" i="19"/>
  <c r="H51" i="11"/>
  <c r="H53" i="11"/>
  <c r="H8" i="11"/>
  <c r="H14" i="11"/>
  <c r="H24" i="11"/>
  <c r="H57" i="11"/>
  <c r="J47" i="10"/>
  <c r="K35" i="11"/>
  <c r="K37" i="11"/>
  <c r="K45" i="11"/>
  <c r="K47" i="10"/>
  <c r="D47" i="10"/>
  <c r="C47" i="10"/>
  <c r="C49" i="10"/>
  <c r="D46" i="10"/>
  <c r="D49" i="10"/>
  <c r="E46" i="10"/>
  <c r="E49" i="10"/>
  <c r="F46" i="10"/>
  <c r="F49" i="10"/>
  <c r="G46" i="10"/>
  <c r="G49" i="10"/>
  <c r="H46" i="10"/>
  <c r="H49" i="10"/>
  <c r="I46" i="10"/>
  <c r="I49" i="10"/>
  <c r="J46" i="10"/>
  <c r="J49" i="10"/>
  <c r="K46" i="10"/>
  <c r="K49" i="10"/>
  <c r="I50" i="11"/>
  <c r="I7" i="19"/>
  <c r="I51" i="11"/>
  <c r="I53" i="11"/>
  <c r="I8" i="11"/>
  <c r="I14" i="11"/>
  <c r="I24" i="11"/>
  <c r="I57" i="11"/>
  <c r="K40" i="10"/>
  <c r="L35" i="11"/>
  <c r="L37" i="11"/>
  <c r="L45" i="11"/>
  <c r="C14" i="19"/>
  <c r="K48" i="18"/>
  <c r="L8" i="11"/>
  <c r="L14" i="11"/>
  <c r="L24" i="11"/>
  <c r="C13" i="19"/>
  <c r="C15" i="19"/>
  <c r="C17" i="19"/>
  <c r="J50" i="11"/>
  <c r="J7" i="19"/>
  <c r="J51" i="11"/>
  <c r="J53" i="11"/>
  <c r="J8" i="11"/>
  <c r="J14" i="11"/>
  <c r="J24" i="11"/>
  <c r="J57" i="11"/>
  <c r="K50" i="11"/>
  <c r="K7" i="19"/>
  <c r="E7" i="19"/>
  <c r="D50" i="11"/>
  <c r="D7" i="19"/>
  <c r="C9" i="19"/>
  <c r="C21" i="19"/>
  <c r="K51" i="11"/>
  <c r="K53" i="11"/>
  <c r="K8" i="11"/>
  <c r="K14" i="11"/>
  <c r="K24" i="11"/>
  <c r="K57" i="11"/>
  <c r="L50" i="11"/>
  <c r="L48" i="11"/>
  <c r="L51" i="11"/>
  <c r="L53" i="11"/>
  <c r="L57" i="11"/>
  <c r="D35" i="11"/>
  <c r="D31" i="11"/>
  <c r="D37" i="11"/>
  <c r="D45" i="11"/>
  <c r="D51" i="11"/>
  <c r="D53" i="11"/>
  <c r="D8" i="11"/>
  <c r="D14" i="11"/>
  <c r="D24" i="11"/>
  <c r="D57" i="11"/>
  <c r="K79" i="18"/>
  <c r="K83" i="18"/>
  <c r="J79" i="18"/>
  <c r="J83" i="18"/>
  <c r="I79" i="18"/>
  <c r="I83" i="18"/>
  <c r="H79" i="18"/>
  <c r="H83" i="18"/>
  <c r="G79" i="18"/>
  <c r="G83" i="18"/>
  <c r="F79" i="18"/>
  <c r="F83" i="18"/>
  <c r="E79" i="18"/>
  <c r="E83" i="18"/>
  <c r="D79" i="18"/>
  <c r="D83" i="18"/>
</calcChain>
</file>

<file path=xl/sharedStrings.xml><?xml version="1.0" encoding="utf-8"?>
<sst xmlns="http://schemas.openxmlformats.org/spreadsheetml/2006/main" count="1144" uniqueCount="587">
  <si>
    <t>Kamish</t>
  </si>
  <si>
    <t>Roscas con pisco</t>
  </si>
  <si>
    <t>Nombre</t>
  </si>
  <si>
    <t>UM</t>
  </si>
  <si>
    <t>Valor</t>
  </si>
  <si>
    <t>TOTAL (S/.)</t>
  </si>
  <si>
    <t>PERSONAL OPERATIVO</t>
  </si>
  <si>
    <t>Técnico</t>
  </si>
  <si>
    <t>Personal Administrativo</t>
  </si>
  <si>
    <t>Personal 
Inicial</t>
  </si>
  <si>
    <t>Sueldo Neto Mensual (S/.)</t>
  </si>
  <si>
    <t>Sueldo Neto Anual (S/.)</t>
  </si>
  <si>
    <t>Total</t>
  </si>
  <si>
    <t>Cantidad</t>
  </si>
  <si>
    <t>Factor de leyes sociales</t>
  </si>
  <si>
    <t>Número sueldos al año</t>
  </si>
  <si>
    <t>Gerencia</t>
  </si>
  <si>
    <t>Admnistración</t>
  </si>
  <si>
    <t>Supervición de producción</t>
  </si>
  <si>
    <t>Ventas</t>
  </si>
  <si>
    <t>Contabilidad</t>
  </si>
  <si>
    <t>Maestro</t>
  </si>
  <si>
    <t>Ayudante</t>
  </si>
  <si>
    <t>2. PARAMETROS</t>
  </si>
  <si>
    <t>2.1 PRODUCTOS</t>
  </si>
  <si>
    <t xml:space="preserve">Grissini </t>
  </si>
  <si>
    <t xml:space="preserve">Precio de venta unitario con IGV  </t>
  </si>
  <si>
    <t xml:space="preserve">Stock Inicial </t>
  </si>
  <si>
    <t>Stock Inicial Valorizado</t>
  </si>
  <si>
    <t>2.2 INSUMOS</t>
  </si>
  <si>
    <t>Stock inicial</t>
  </si>
  <si>
    <t>Insumo</t>
  </si>
  <si>
    <t>Harina</t>
  </si>
  <si>
    <t>Azucar</t>
  </si>
  <si>
    <t>Huevo</t>
  </si>
  <si>
    <t>Manteca</t>
  </si>
  <si>
    <t>Aceite</t>
  </si>
  <si>
    <t>Pisco</t>
  </si>
  <si>
    <t>Otros</t>
  </si>
  <si>
    <t xml:space="preserve">Fruta seca </t>
  </si>
  <si>
    <t>kg</t>
  </si>
  <si>
    <t>lt</t>
  </si>
  <si>
    <t>Preservante</t>
  </si>
  <si>
    <t>Queso</t>
  </si>
  <si>
    <t>Costo Unitario (S/.)</t>
  </si>
  <si>
    <t>Stock inicial valorizado</t>
  </si>
  <si>
    <t xml:space="preserve">Maestro </t>
  </si>
  <si>
    <t>HH</t>
  </si>
  <si>
    <t>Costo de destajos  por horas hombre</t>
  </si>
  <si>
    <t>2.3 MANO DE OBRA</t>
  </si>
  <si>
    <t>2.4 MAQUINARIA</t>
  </si>
  <si>
    <t>2.5 EDIFICACIONES  Y TERRENOS</t>
  </si>
  <si>
    <t>2.6 EQUIPOS</t>
  </si>
  <si>
    <t>2.7 UNIDADES DE TRANSPORTE</t>
  </si>
  <si>
    <t>2.8 MUEBLES Y ENSERES</t>
  </si>
  <si>
    <t>Depreciación unitaria Anual (S/.)</t>
  </si>
  <si>
    <t>Horno Rotativo</t>
  </si>
  <si>
    <t>Mezcladora de alta velocida</t>
  </si>
  <si>
    <t>Laminadora</t>
  </si>
  <si>
    <t>Cinta transportadora</t>
  </si>
  <si>
    <t>Apilador de Galletas</t>
  </si>
  <si>
    <t>Estuchadora de Caja</t>
  </si>
  <si>
    <t>Estuchadora flow pack</t>
  </si>
  <si>
    <t>Paletizadora</t>
  </si>
  <si>
    <t>Carretilladora elevadora</t>
  </si>
  <si>
    <t>Área (m2)</t>
  </si>
  <si>
    <t>Valor del m2 (S/.)</t>
  </si>
  <si>
    <t>Valor de Adquisición (S/.)</t>
  </si>
  <si>
    <t>Tiempo de vida usado (Años)</t>
  </si>
  <si>
    <t>% Depreciación anual</t>
  </si>
  <si>
    <t>Local Administrativo -Terreno</t>
  </si>
  <si>
    <t>Planta - Terreno</t>
  </si>
  <si>
    <t>Local Administrativo -Edificacion</t>
  </si>
  <si>
    <t>Planta - Edificacion</t>
  </si>
  <si>
    <t>Valor unitario (S/.)</t>
  </si>
  <si>
    <t>Valor total (S/.)</t>
  </si>
  <si>
    <t>Impresora</t>
  </si>
  <si>
    <t>Equipos de computo</t>
  </si>
  <si>
    <t>Camioneta</t>
  </si>
  <si>
    <t>Varios</t>
  </si>
  <si>
    <t>Venta Anual Base</t>
  </si>
  <si>
    <t>Producto\Período</t>
  </si>
  <si>
    <t>Producto</t>
  </si>
  <si>
    <t>Variación respecto al período anterior</t>
  </si>
  <si>
    <t>2.10 OTROS PARAMETROS</t>
  </si>
  <si>
    <t>Otros parametros</t>
  </si>
  <si>
    <t>IGV</t>
  </si>
  <si>
    <t>Impuesto a la Renta</t>
  </si>
  <si>
    <t>4.3. Ventas Valorizadas (Sin IGV) en soles</t>
  </si>
  <si>
    <t>4.4. Ventas Valorizadas (Con IGV) en soles</t>
  </si>
  <si>
    <t>1. VARIABLES</t>
  </si>
  <si>
    <t>Variación salarial</t>
  </si>
  <si>
    <t>Total ventas valorizadas (sin IGV)</t>
  </si>
  <si>
    <t>Total ventas valorizadas (con IGV)</t>
  </si>
  <si>
    <t>PRODUCTO 1</t>
  </si>
  <si>
    <t>Stock Inicial</t>
  </si>
  <si>
    <t>Producción</t>
  </si>
  <si>
    <t xml:space="preserve">Ventas </t>
  </si>
  <si>
    <t>Stock Final</t>
  </si>
  <si>
    <t>Stock Final teórico</t>
  </si>
  <si>
    <t>Producción teórica</t>
  </si>
  <si>
    <t>PRODUCTO 2</t>
  </si>
  <si>
    <t>PRODUCTO 3</t>
  </si>
  <si>
    <t>PRODUCTOS</t>
  </si>
  <si>
    <t>Productos</t>
  </si>
  <si>
    <t>Componentes / Productos</t>
  </si>
  <si>
    <t>Unidad de Medida</t>
  </si>
  <si>
    <t>Insumos</t>
  </si>
  <si>
    <t>Kg</t>
  </si>
  <si>
    <t>un</t>
  </si>
  <si>
    <t>Frutas Secas</t>
  </si>
  <si>
    <t>Preservantes</t>
  </si>
  <si>
    <t>Lt</t>
  </si>
  <si>
    <t>Mano de Obra (Horas - Hombre)</t>
  </si>
  <si>
    <t>INSUMOS</t>
  </si>
  <si>
    <t xml:space="preserve">Cantidad </t>
  </si>
  <si>
    <t>Precio Unitario Inicial (S/.)</t>
  </si>
  <si>
    <t>Precio total (S/.)</t>
  </si>
  <si>
    <t>Depreciación. Unitaria (S/.)</t>
  </si>
  <si>
    <t>Depreciación Acumulada Total (S/.)</t>
  </si>
  <si>
    <t>TERRENOS</t>
  </si>
  <si>
    <t>EDIFICIOS Y OTRAS CONSTRUCCIONES</t>
  </si>
  <si>
    <t>MAQUINARIAS</t>
  </si>
  <si>
    <t>EQUIPOS</t>
  </si>
  <si>
    <t>UNIDADES DE TRANSPORTE</t>
  </si>
  <si>
    <t>MUEBLES Y ENSERES</t>
  </si>
  <si>
    <t>TOTAL ACTIVOS</t>
  </si>
  <si>
    <t>Valor inicial de los activos</t>
  </si>
  <si>
    <t>TOTAL VALOR EN LIBROS ANUAL</t>
  </si>
  <si>
    <t>TOTAL DEPRECIACIÓN 
ACUMULADA ANUAL</t>
  </si>
  <si>
    <t>TOTAL VALOR DE LIBROS ANUAL</t>
  </si>
  <si>
    <t>TOTAL DEPRECIACIÓN ANUAL</t>
  </si>
  <si>
    <t>TOTAL DEPRECIACIÓN ACUMULADA ANUAL</t>
  </si>
  <si>
    <t>Tiempo de vida útil (Años)</t>
  </si>
  <si>
    <t>INSUMO 1</t>
  </si>
  <si>
    <t>Compra</t>
  </si>
  <si>
    <t>Consumo</t>
  </si>
  <si>
    <t>Stock Final Teórico</t>
  </si>
  <si>
    <t>Compra Teórica</t>
  </si>
  <si>
    <t>INSUMO 2</t>
  </si>
  <si>
    <t>INSUMO 3</t>
  </si>
  <si>
    <t>INSUMO 4</t>
  </si>
  <si>
    <t>INSUMO 5</t>
  </si>
  <si>
    <t>INSUMO 6</t>
  </si>
  <si>
    <t>INSUMO 7</t>
  </si>
  <si>
    <t>INSUMO 8</t>
  </si>
  <si>
    <t>INSUMO 9</t>
  </si>
  <si>
    <t>GRISSINI</t>
  </si>
  <si>
    <t>KAMISH</t>
  </si>
  <si>
    <t>ROSCAS CON PISCO</t>
  </si>
  <si>
    <t>IGV de Ventas de Productos</t>
  </si>
  <si>
    <t>IGV de Compras de Materiales</t>
  </si>
  <si>
    <t>IGV de Ventas de Activos</t>
  </si>
  <si>
    <t>IGV de Compras de Activos</t>
  </si>
  <si>
    <t>IGV del Período</t>
  </si>
  <si>
    <t>CV Unitario
Promedio</t>
  </si>
  <si>
    <t>RESUMEN</t>
  </si>
  <si>
    <t>TOTAL</t>
  </si>
  <si>
    <t>Concepto</t>
  </si>
  <si>
    <t>Valor (S/.)</t>
  </si>
  <si>
    <t>ACTIVOS</t>
  </si>
  <si>
    <t>Caja - Bancos</t>
  </si>
  <si>
    <t>Crédito Fiscal</t>
  </si>
  <si>
    <t>Cuentas por Cobrar (Incluye IGV)</t>
  </si>
  <si>
    <t>Inventario de Insumos</t>
  </si>
  <si>
    <t>Inventario de Productos terminados</t>
  </si>
  <si>
    <t>Activos Fijos</t>
  </si>
  <si>
    <t>Depreciación Acumulada</t>
  </si>
  <si>
    <t>Intangibles</t>
  </si>
  <si>
    <t>Amortización de Intangibles</t>
  </si>
  <si>
    <t>Valores Negociables</t>
  </si>
  <si>
    <t>PASIVOS</t>
  </si>
  <si>
    <t>Cuentas por Pagar (Proveedores, incluye IGV)</t>
  </si>
  <si>
    <t>Cuentas por Pagar (Sobregiros)</t>
  </si>
  <si>
    <t>IGV para Pagar al Estado</t>
  </si>
  <si>
    <t>Préstamos a corto plazo por pagar</t>
  </si>
  <si>
    <t>Participación por pagar</t>
  </si>
  <si>
    <t>Impuesto a la Renta por Pagar</t>
  </si>
  <si>
    <t>Dividendos por Pagar</t>
  </si>
  <si>
    <t>Préstamos a largo plazo</t>
  </si>
  <si>
    <t>TOTAL PASIVOS</t>
  </si>
  <si>
    <t>PATRIMONIO</t>
  </si>
  <si>
    <t>Capital Social</t>
  </si>
  <si>
    <t>Reservas Legales Acumuladas</t>
  </si>
  <si>
    <t>Resultados Acumulados</t>
  </si>
  <si>
    <t>TOTAL PATRIMONIO</t>
  </si>
  <si>
    <t>DESCUADRE</t>
  </si>
  <si>
    <t>Inicial</t>
  </si>
  <si>
    <t>Activos</t>
  </si>
  <si>
    <t>Activo Corriente</t>
  </si>
  <si>
    <t>Cuentas por Cobrar</t>
  </si>
  <si>
    <t>Existencias</t>
  </si>
  <si>
    <t>Productos Terminados</t>
  </si>
  <si>
    <t>Total Activo Corriente</t>
  </si>
  <si>
    <t>Activo No Corriente</t>
  </si>
  <si>
    <t>Valores Adquiridos</t>
  </si>
  <si>
    <t>Total Activo No Corriente</t>
  </si>
  <si>
    <t>Total Activo</t>
  </si>
  <si>
    <t>Pasivo y Patrimonio</t>
  </si>
  <si>
    <t>Pasivo Corriente</t>
  </si>
  <si>
    <t>Cuentas por Pagar (Proveedores)</t>
  </si>
  <si>
    <t>Préstamos a Corto Plazo por Pagar</t>
  </si>
  <si>
    <t>Participaciones por Pagar</t>
  </si>
  <si>
    <t>Total Pasivo Corriente</t>
  </si>
  <si>
    <t>Pasivo No Corriente</t>
  </si>
  <si>
    <t>Préstamos a Largo Plazo</t>
  </si>
  <si>
    <t>Total Pasivo No Corriente</t>
  </si>
  <si>
    <t>Total Pasivo</t>
  </si>
  <si>
    <t>Patrimonio</t>
  </si>
  <si>
    <t>Total Patrimonio</t>
  </si>
  <si>
    <t>Total Pasivo y Patrimonio</t>
  </si>
  <si>
    <t>Descuadre</t>
  </si>
  <si>
    <t>Valor presente neto de las utilidades</t>
  </si>
  <si>
    <t>Utilidades Netas</t>
  </si>
  <si>
    <t>Tasa de Rentabilidad</t>
  </si>
  <si>
    <t>Valor Presente Neto acumulado 
de las Utilidades</t>
  </si>
  <si>
    <t>Valor presente neto de activos</t>
  </si>
  <si>
    <t>Valor de  los activos al final del horizonte</t>
  </si>
  <si>
    <t>Valor de los pasivos al final del horizonte</t>
  </si>
  <si>
    <t>Valor de activos netos al final del horizonte</t>
  </si>
  <si>
    <t>Valor presente neto
 de activos netos al final del horizonte</t>
  </si>
  <si>
    <t>Valor de la Empresa</t>
  </si>
  <si>
    <t>Valor de la empresa</t>
  </si>
  <si>
    <t>Insumos por producto</t>
  </si>
  <si>
    <t>Costos Directos</t>
  </si>
  <si>
    <t>Mano de Obra directa</t>
  </si>
  <si>
    <t>Total Costos Directos</t>
  </si>
  <si>
    <t>Costos Indirectos</t>
  </si>
  <si>
    <t>MO Indirecta</t>
  </si>
  <si>
    <t>Servicios</t>
  </si>
  <si>
    <t>Total Costos Indirectos</t>
  </si>
  <si>
    <t>TOTAL COSTO DE PRODUCCION</t>
  </si>
  <si>
    <t>Cantidad total de producción</t>
  </si>
  <si>
    <t>Costo Unitario</t>
  </si>
  <si>
    <t>4. PLAN DE VENTAS</t>
  </si>
  <si>
    <t xml:space="preserve">5. PLAN DE PRODUCCIÓN </t>
  </si>
  <si>
    <t>5.2. PLAN DE PRODUCCION</t>
  </si>
  <si>
    <t>SALDO INICIAL</t>
  </si>
  <si>
    <t>INGRESOS OPERATIVOS</t>
  </si>
  <si>
    <t>Cobranzas del período</t>
  </si>
  <si>
    <t>TOTAL INGRESOS</t>
  </si>
  <si>
    <t>EGRESOS OPERATIVOS Y ADMINISTRATIVOS</t>
  </si>
  <si>
    <t>Compras insumos y materiales</t>
  </si>
  <si>
    <t>Gastos de ventas</t>
  </si>
  <si>
    <t>Pago a personal</t>
  </si>
  <si>
    <t>Mantenimiento de maquinarias</t>
  </si>
  <si>
    <t>Impuesto a la renta</t>
  </si>
  <si>
    <t>IGV del período</t>
  </si>
  <si>
    <t>Pago de Dividendos</t>
  </si>
  <si>
    <t>Compra de Valores Negociables</t>
  </si>
  <si>
    <t>TOTAL EGRESOS</t>
  </si>
  <si>
    <t>SALDO FINAL</t>
  </si>
  <si>
    <t>ESTADO DE RESULTADOS</t>
  </si>
  <si>
    <t>Ventas (sin IGV)</t>
  </si>
  <si>
    <t>Ventas incobrables</t>
  </si>
  <si>
    <t>Costos de ventas (sin IGV)</t>
  </si>
  <si>
    <t>Gastos Administrativos</t>
  </si>
  <si>
    <t>Gastos de Ventas</t>
  </si>
  <si>
    <t>Gastos Financieros</t>
  </si>
  <si>
    <t>Reserva Legal</t>
  </si>
  <si>
    <t>Capitalización de Utilidad</t>
  </si>
  <si>
    <t>Aplicación de la Reserva</t>
  </si>
  <si>
    <t>Utilidad Neta luego de aplicar la Reserva Acumulada</t>
  </si>
  <si>
    <t>Utilidad Acumulada</t>
  </si>
  <si>
    <t>Reserva Legal Acumulada</t>
  </si>
  <si>
    <t>Reserva Legal Teórica</t>
  </si>
  <si>
    <t>Reserva Legal a Acumular</t>
  </si>
  <si>
    <t>Reserva Legal a Aplicar</t>
  </si>
  <si>
    <t>Capital Social Inicial</t>
  </si>
  <si>
    <t>Capital Social Final</t>
  </si>
  <si>
    <t>Cantidad (unidades)</t>
  </si>
  <si>
    <t>Valor de Adquisición Unitario (S/.)</t>
  </si>
  <si>
    <t>Valor Total (S/.)</t>
  </si>
  <si>
    <t>Tiempo de Vida Usado (Años)</t>
  </si>
  <si>
    <t>Tiempo de Vida Útil (Años)</t>
  </si>
  <si>
    <t>Depreciación Anual (%)</t>
  </si>
  <si>
    <t>Depreciación unitaria Annual (S/.)</t>
  </si>
  <si>
    <t>Costo Anual de Mantenimiento (S/.)</t>
  </si>
  <si>
    <t>Parámetros</t>
  </si>
  <si>
    <t>Costo Promedio</t>
  </si>
  <si>
    <t>Cuadro Resumen: Consumo Valorizado (en soles)</t>
  </si>
  <si>
    <t>Fruta Seca</t>
  </si>
  <si>
    <t>Por Insumos</t>
  </si>
  <si>
    <t>Total Compras</t>
  </si>
  <si>
    <t>Total Insumos valorizados</t>
  </si>
  <si>
    <t>Porcentajes para Producto Ficticio(Grissini)</t>
  </si>
  <si>
    <t>Con Queso</t>
  </si>
  <si>
    <t>Con Ajonjoli</t>
  </si>
  <si>
    <t>Con Orégano</t>
  </si>
  <si>
    <t>Con albahaca y parnesano</t>
  </si>
  <si>
    <t>6. NECESIDADES DE INSUMO (en kg, un,  lt)</t>
  </si>
  <si>
    <t>Variación de ventas en unidades</t>
  </si>
  <si>
    <t>4.2. Precio de Venta (con IGV) en soles</t>
  </si>
  <si>
    <t>5.1. MODELO DE INVENTARIO DE PRODUCTOS TERMINADOS EN BOLSAS</t>
  </si>
  <si>
    <t>infinito</t>
  </si>
  <si>
    <t>12.1 Valor de activos</t>
  </si>
  <si>
    <t>12.2 Valor en libros</t>
  </si>
  <si>
    <t>Ventas al contado</t>
  </si>
  <si>
    <t>Ventas al crédito</t>
  </si>
  <si>
    <t>Ventas al crédito cobrables</t>
  </si>
  <si>
    <t>Ventas al crédito incobrables</t>
  </si>
  <si>
    <t>Ventas al crédito cobradas en el 
período actual</t>
  </si>
  <si>
    <t>Ventas al crédito del período anterior</t>
  </si>
  <si>
    <t>Total de cobros al crédito</t>
  </si>
  <si>
    <t>Cuentas cobradas</t>
  </si>
  <si>
    <t>Cuentas por cobrar</t>
  </si>
  <si>
    <t>Compras al contado</t>
  </si>
  <si>
    <t>Compras al crédito</t>
  </si>
  <si>
    <t>Compras al crédito pagadas en el 
período actual</t>
  </si>
  <si>
    <t>Compras al crédito pagadas del período anterior</t>
  </si>
  <si>
    <t>Total de pagos por compras al crédito</t>
  </si>
  <si>
    <t>Cuentas pagadas</t>
  </si>
  <si>
    <t>Cuentas por pagar</t>
  </si>
  <si>
    <t>2.12 Balance General Inicial</t>
  </si>
  <si>
    <t xml:space="preserve">2.11 VENTAS Y COMPRAS </t>
  </si>
  <si>
    <t>Parametros de Ventas</t>
  </si>
  <si>
    <t>Porcentajes</t>
  </si>
  <si>
    <t>% Ventas al contado</t>
  </si>
  <si>
    <t>% Ventas al crédito</t>
  </si>
  <si>
    <t>% Ventas incobrables</t>
  </si>
  <si>
    <t>% Ventas al crédito cobradas en el mismo periodo</t>
  </si>
  <si>
    <t>% Ventas al crédito cobradas en el siguiente periodo</t>
  </si>
  <si>
    <t>Parametros de Compras</t>
  </si>
  <si>
    <t>% Compras al contado</t>
  </si>
  <si>
    <t>% Compras al crédito</t>
  </si>
  <si>
    <t>% Compras al crédito pagados al mismo periodo</t>
  </si>
  <si>
    <t>% Ventas al crédito pagadas en el siguiente periodo</t>
  </si>
  <si>
    <t>Concepto/Período</t>
  </si>
  <si>
    <t>Superintendente de planta</t>
  </si>
  <si>
    <t>2.9 SERVICIOS</t>
  </si>
  <si>
    <t>SERVICIOS</t>
  </si>
  <si>
    <t>Seguridad</t>
  </si>
  <si>
    <t>Limpieza</t>
  </si>
  <si>
    <t>Básico(Luz,agua,telefono, otros)</t>
  </si>
  <si>
    <t>2.10 PERSONAL</t>
  </si>
  <si>
    <t>2.11 INDUCTORES</t>
  </si>
  <si>
    <t>Inductor</t>
  </si>
  <si>
    <t>Unidades producidas</t>
  </si>
  <si>
    <t>Respuestos y Mantenimiento</t>
  </si>
  <si>
    <t>Depreciación de maquinaria</t>
  </si>
  <si>
    <t>Resumen de costos asignados</t>
  </si>
  <si>
    <t>Producto 1</t>
  </si>
  <si>
    <t>Categoría</t>
  </si>
  <si>
    <t>Producto 2</t>
  </si>
  <si>
    <t>Producto 3</t>
  </si>
  <si>
    <t>CV Unitario Promedio</t>
  </si>
  <si>
    <t>COSTO DE VENTAS</t>
  </si>
  <si>
    <t>2.13 Costos Indirectos</t>
  </si>
  <si>
    <t>10.1 Costos Indirectos sin IGV</t>
  </si>
  <si>
    <t>10.2 Inducción por unidades producidas</t>
  </si>
  <si>
    <t>10.2.1 Unidades totales</t>
  </si>
  <si>
    <t>10.2.2 Unidades totales porcentuales</t>
  </si>
  <si>
    <t>Costo base anual(S/.)</t>
  </si>
  <si>
    <t>Sobregiros</t>
  </si>
  <si>
    <t>Préstamo Bancario a Corto Plazo</t>
  </si>
  <si>
    <t>Venta de Valores Negociables</t>
  </si>
  <si>
    <t>Aportes Capital Accionistas</t>
  </si>
  <si>
    <t>Pago de servicios (Servicios básicos, seguridad y limpieza)</t>
  </si>
  <si>
    <t>Participación de trabajadores</t>
  </si>
  <si>
    <t>Pago adelantado de Préstamos a corto plazo</t>
  </si>
  <si>
    <t>Saldo Menor a Caja Mínima</t>
  </si>
  <si>
    <t>¿Hay déficit de la Caja Mínima?</t>
  </si>
  <si>
    <t xml:space="preserve">Déficit de Caja Mínima( DCM) </t>
  </si>
  <si>
    <t>1.   ¿Se utiliza un sobregiro?</t>
  </si>
  <si>
    <t>Valor del Sobregiro</t>
  </si>
  <si>
    <t>DCM luego de sobregiro</t>
  </si>
  <si>
    <t>Monto del préstamo</t>
  </si>
  <si>
    <t>DCM luego de préstamo a CP</t>
  </si>
  <si>
    <t>3. ¿Se Venden valores?</t>
  </si>
  <si>
    <t>Venta de valores</t>
  </si>
  <si>
    <t xml:space="preserve"> DCM luego de vender valores</t>
  </si>
  <si>
    <t>Saldo Mayor a Caja Máxima</t>
  </si>
  <si>
    <t>¿Se excede la Caja Máxima?</t>
  </si>
  <si>
    <t>1. ¿Se amortiza préstamo a corto plazo?</t>
  </si>
  <si>
    <t>Amortización de Préstamos</t>
  </si>
  <si>
    <t>ECMax luego de amortizar deuda</t>
  </si>
  <si>
    <t>2.   ¿Se pagan dividendos?</t>
  </si>
  <si>
    <t>Pago de dividendos</t>
  </si>
  <si>
    <t>ECMax luego de pagar dividendos</t>
  </si>
  <si>
    <t>3. ¿Se compran valores?</t>
  </si>
  <si>
    <t>Compra de Valores</t>
  </si>
  <si>
    <t>ECMax luego de comprar valores</t>
  </si>
  <si>
    <t>Sobregiro</t>
  </si>
  <si>
    <t>Saldo de deuda sobregiro al inicio</t>
  </si>
  <si>
    <t>Interés del periodo</t>
  </si>
  <si>
    <t>Amortización de sobregiro</t>
  </si>
  <si>
    <t>Monto de nuevo sobregiro</t>
  </si>
  <si>
    <t>Saldo de deuda sobregiro al final</t>
  </si>
  <si>
    <t>Deudas a Corto Plazo</t>
  </si>
  <si>
    <t>Saldo de deuda a corto plazo al inicio</t>
  </si>
  <si>
    <t>Amortización de deuda</t>
  </si>
  <si>
    <t>Monto de nuevo préstamo</t>
  </si>
  <si>
    <t>Saldo de deuda a corto plazo al final</t>
  </si>
  <si>
    <t>Dividendos</t>
  </si>
  <si>
    <t>Dividendos por pagar al inicio</t>
  </si>
  <si>
    <t>Aumento de dividendos por pagar</t>
  </si>
  <si>
    <t>Dividendos por pagar al final</t>
  </si>
  <si>
    <t>Valores</t>
  </si>
  <si>
    <t>Monto de Valores al Inicio</t>
  </si>
  <si>
    <t>Monto Valores Final</t>
  </si>
  <si>
    <t>Índice de variación de mantenimiento de maquinaria (por obsolescencia)</t>
  </si>
  <si>
    <t>Costo por hora hombre</t>
  </si>
  <si>
    <t>Cantidad de horas al mes</t>
  </si>
  <si>
    <t>Cantidad de horas al año</t>
  </si>
  <si>
    <t>11. MOD</t>
  </si>
  <si>
    <t>Tecnico</t>
  </si>
  <si>
    <t>2.14 Participaciones, Buena Gestión, Reserva Legal y Otros</t>
  </si>
  <si>
    <t>Participaciones, buena gestión, reserva legal y otros</t>
  </si>
  <si>
    <t>Valor(%)</t>
  </si>
  <si>
    <t>Participaciones</t>
  </si>
  <si>
    <t>Directorio</t>
  </si>
  <si>
    <t>Buena Gestión</t>
  </si>
  <si>
    <t>Repartición de dividendos por utilidades</t>
  </si>
  <si>
    <t>Capitalización de utilidades</t>
  </si>
  <si>
    <t>% de Capital social en reserva legal</t>
  </si>
  <si>
    <t>Participación de los Trabajadores</t>
  </si>
  <si>
    <t>Crédito Fiscal Anterior</t>
  </si>
  <si>
    <t>Nuevo CF</t>
  </si>
  <si>
    <t>CF Utilizado</t>
  </si>
  <si>
    <t>CF Actual</t>
  </si>
  <si>
    <t>IGV Neto a Pagar al Estado</t>
  </si>
  <si>
    <t>Cálculos del Período</t>
  </si>
  <si>
    <t>Utilidad Imponible del Ejercicio</t>
  </si>
  <si>
    <t>Aplicación Pérdidas Ejercicios Anteriores</t>
  </si>
  <si>
    <t>Utilidad Imponible Real</t>
  </si>
  <si>
    <t>Impuesto Teórico (Para el EGP)</t>
  </si>
  <si>
    <t>Aplicación de Impuestos Pagados en Exceso</t>
  </si>
  <si>
    <t>Impuesto a Pagar en el Año</t>
  </si>
  <si>
    <t>Cuentas de Impuestos Pagados en Exceso</t>
  </si>
  <si>
    <t>Impuestos Pagados en Exceso el año anterior</t>
  </si>
  <si>
    <t>Nuevo Saldo de Impuestos Pagados en Exceso</t>
  </si>
  <si>
    <t>Cuenta de Pérdidas de Ejercicios Anteriores</t>
  </si>
  <si>
    <t>Pérdidas de Ejercicios Anteriores (Inicial)</t>
  </si>
  <si>
    <t>Pérdidas del Ejercicio Actual</t>
  </si>
  <si>
    <t>Aplicación de Pérdidas de Ejercicios Anteriores</t>
  </si>
  <si>
    <t>Nuevo Saldo de Pérdidas de Ejercicios Anteriores</t>
  </si>
  <si>
    <t>Gastos fijos del área</t>
  </si>
  <si>
    <t>Comisión de ventas</t>
  </si>
  <si>
    <t>Gastos de distribución</t>
  </si>
  <si>
    <t>Total Gasto de ventas</t>
  </si>
  <si>
    <t>Gastos administrativos</t>
  </si>
  <si>
    <t>Gastos gerenciales</t>
  </si>
  <si>
    <t>Gastos de administración</t>
  </si>
  <si>
    <t>Gastos contabilidad</t>
  </si>
  <si>
    <t>Total gastos administrativos</t>
  </si>
  <si>
    <t>12.3 Depreciación anual</t>
  </si>
  <si>
    <t>Depreciacion unitaria annual</t>
  </si>
  <si>
    <t>12.4 Depreciación acumulada</t>
  </si>
  <si>
    <t>12.5 Resumen de activos fijos</t>
  </si>
  <si>
    <t>12.6 Mantenimiento de Maquinaria</t>
  </si>
  <si>
    <t>Valor inicial de Mantenimiento</t>
  </si>
  <si>
    <t>TOTAL MANTENIMIENTO ANUAL</t>
  </si>
  <si>
    <t>MANO DE OBRA INDIRECTA</t>
  </si>
  <si>
    <t>16.1 IGV (en soles)</t>
  </si>
  <si>
    <t>16.2 Impuesto a la Renta (en soles)</t>
  </si>
  <si>
    <t>Supervisor de producción</t>
  </si>
  <si>
    <t>2.15 Valorizacion</t>
  </si>
  <si>
    <t>Tasa de Rentabilidad para Valorización</t>
  </si>
  <si>
    <t>Costo de distribución por 1000 kg (soles)</t>
  </si>
  <si>
    <t>Sobregiros y préstamos a corto plazo</t>
  </si>
  <si>
    <t>Valor(S/.)</t>
  </si>
  <si>
    <t>Caja Mínima</t>
  </si>
  <si>
    <t>Caja Máxima</t>
  </si>
  <si>
    <t>Monto sobregiro máximo anual</t>
  </si>
  <si>
    <t>Interés anual de sobregiro</t>
  </si>
  <si>
    <t>Monto préstamo a corto plazo máximo</t>
  </si>
  <si>
    <t>Interés anual del préstamo a corto plazo</t>
  </si>
  <si>
    <t>2.16 Sobregiros y Préstamos a Corto Plazo</t>
  </si>
  <si>
    <t>MARGEN BRUTO</t>
  </si>
  <si>
    <t>MARGEN DE OPERACION</t>
  </si>
  <si>
    <t>MARGEN ANTES DE IMPUESTOS Y PARTICIPACIONES</t>
  </si>
  <si>
    <t>UTILIDAD IMPONIBLE</t>
  </si>
  <si>
    <t>UTILIDAD DESPUES DE IMPUESTOS</t>
  </si>
  <si>
    <t>UTILIDAD DE LIBRE DISPOSICION</t>
  </si>
  <si>
    <t>UTILIDAD NETA</t>
  </si>
  <si>
    <t>Otros Ingresos/Egresos</t>
  </si>
  <si>
    <t>3. FORMULACION</t>
  </si>
  <si>
    <t>Grissinis con Queso (10 Kg)</t>
  </si>
  <si>
    <t>Grissinis con AjonjolÍ (10 Kg)</t>
  </si>
  <si>
    <t>Grissinis con Orégano       (10 Kg)</t>
  </si>
  <si>
    <t>Grissinis con Albahaca y Parmesano (10 Kg)</t>
  </si>
  <si>
    <t>Grissinis Ficticio (10 Kg)</t>
  </si>
  <si>
    <t>Galletas Kamish (10 Kg)</t>
  </si>
  <si>
    <t>Roscas con Piscos (10 Kg)</t>
  </si>
  <si>
    <t>10 Kg</t>
  </si>
  <si>
    <t>Variación de los precios de venta</t>
  </si>
  <si>
    <t>Variación de los precios de compra</t>
  </si>
  <si>
    <t>Variación del costo de los servicios</t>
  </si>
  <si>
    <t>Variación del manenimiento de maquinaria</t>
  </si>
  <si>
    <t>Variación del IPC</t>
  </si>
  <si>
    <t>Soles</t>
  </si>
  <si>
    <t>Políticas de Stock (días)</t>
  </si>
  <si>
    <t>4.1. Plan de Ventas en unidades de 10 Kg.</t>
  </si>
  <si>
    <t>Resumen de las Necesidades de Insumos en unidades</t>
  </si>
  <si>
    <t>Harina (kg)</t>
  </si>
  <si>
    <t>Azucar (kg)</t>
  </si>
  <si>
    <t>Huevo (kg)</t>
  </si>
  <si>
    <t>Manteca (kg)</t>
  </si>
  <si>
    <t>Aceite (lt)</t>
  </si>
  <si>
    <t>Frutas Secas (kg)</t>
  </si>
  <si>
    <t>Preservantes (kg)</t>
  </si>
  <si>
    <t>Queso (kg)</t>
  </si>
  <si>
    <t>Pisco (lt)</t>
  </si>
  <si>
    <t>Otros (soles)</t>
  </si>
  <si>
    <t>10. CONSUMO VALORIZADO (soles)</t>
  </si>
  <si>
    <t>9. MODELO DE INVENTARIO DE INSUMOS VALORIZADOS (EN SOLES)</t>
  </si>
  <si>
    <t>7. PLAN DE COMPRAS EN UNIDADES</t>
  </si>
  <si>
    <t>Resumen del Plan de Compras en unidades</t>
  </si>
  <si>
    <t>8. PLAN DE COMPRAS VALORIZADO</t>
  </si>
  <si>
    <t>8.1. Plan de Compras valorizado (en soles)</t>
  </si>
  <si>
    <t>8.2. Stock Final Valorizado (en soles)</t>
  </si>
  <si>
    <t>11.2. Total horas de Mano de obra requeridas (horas-hombre)</t>
  </si>
  <si>
    <t>12. PERSONAL Y SERVICIOS</t>
  </si>
  <si>
    <t>12.1. Mano de obra directa</t>
  </si>
  <si>
    <t>12.2. Mano de obra indirecta</t>
  </si>
  <si>
    <t>12.3. Servicios</t>
  </si>
  <si>
    <t>13. ACTIVOS FIJOS</t>
  </si>
  <si>
    <t>14. COSTOS INDIRECTOS</t>
  </si>
  <si>
    <t>15. COSTO UNITARIO DE PRODUCCIÓN</t>
  </si>
  <si>
    <t>16. COSTOS DE VENTAS</t>
  </si>
  <si>
    <t>17. CUENTAS POR COBRAR (SOLES)</t>
  </si>
  <si>
    <t>18. CUENTAS POR PAGAR (EN SOLES)</t>
  </si>
  <si>
    <t>19. GASTOS (EN SOLES)</t>
  </si>
  <si>
    <t>20. IGV E IMPUESTO A LA RENTA</t>
  </si>
  <si>
    <t>21. FLUJO DE CAJA (EN SOLES)</t>
  </si>
  <si>
    <t>22. EGP (EN SOLES)</t>
  </si>
  <si>
    <t>23. BALANCE GENERAL (EN SOLES)</t>
  </si>
  <si>
    <t>24. VALORIZACIÓN (EN SOLES)</t>
  </si>
  <si>
    <t>INGRESOS POR DECISIONES FINANCIERAS</t>
  </si>
  <si>
    <t>EGRESOS POR DECISIONES FINANCIERAS</t>
  </si>
  <si>
    <t>SALDO ANTES DE DECISIONES FINANCIERAS</t>
  </si>
  <si>
    <t>INGRESOS</t>
  </si>
  <si>
    <t>EGRESOS</t>
  </si>
  <si>
    <t>RESULTADO DE DECISIONES FINANCIERAS</t>
  </si>
  <si>
    <t>TOTAL INGRESOS ANTES DE DECISIONES FINANCIERAS</t>
  </si>
  <si>
    <t>TOTAL EGRESOS ANTES DE DECISIONES FINANCIERAS</t>
  </si>
  <si>
    <t>DECISIONES FINANCIERAS</t>
  </si>
  <si>
    <t>4. Aporte de capital de accionistas</t>
  </si>
  <si>
    <t>Aporte de capital</t>
  </si>
  <si>
    <t xml:space="preserve"> DCM luego del aporte de capital</t>
  </si>
  <si>
    <t>2.   ¿Se solicita préstamo a Corto Plazo?</t>
  </si>
  <si>
    <t>Excedente respecto de Caja Mínima(ECMin)</t>
  </si>
  <si>
    <t>Excedente respecto de Caja Máxima(ECMax)</t>
  </si>
  <si>
    <t>Saldo Mayor a Caja Mínima</t>
  </si>
  <si>
    <t>¿Se excede Caja Mínima mas no Caja Máxima?</t>
  </si>
  <si>
    <t>Excedente respecto de Caja Mínima (ECMin)</t>
  </si>
  <si>
    <t>1.   ¿Se amortiza préstamo a corto plazo?</t>
  </si>
  <si>
    <t>Amortización de préstamo</t>
  </si>
  <si>
    <t>ECMin luego de amortizar deuda</t>
  </si>
  <si>
    <t>2. ¿Se pagan dividendos?</t>
  </si>
  <si>
    <t>ECMin luego de pagar dividendos</t>
  </si>
  <si>
    <t>ECMin luego de comprar valores</t>
  </si>
  <si>
    <t>Grissinis Ficticio</t>
  </si>
  <si>
    <t>Galletas Kamish</t>
  </si>
  <si>
    <t>Roscas con Piscos</t>
  </si>
  <si>
    <t>11.1. Total horas de Mano de obra por producto disponible (horas-hombre)</t>
  </si>
  <si>
    <t>11.3. Total horas de destajo requeridas (horas-hombre)</t>
  </si>
  <si>
    <t>11.4. Total horas de destajo valorizadas</t>
  </si>
  <si>
    <t xml:space="preserve">11.5. Total mano de obra directa disponible valorizada </t>
  </si>
  <si>
    <t xml:space="preserve">11.6. Total mano de obra directa asignada valorizada </t>
  </si>
  <si>
    <t>Periodo</t>
  </si>
  <si>
    <t>Monto Total de Ventas (CON IGV)</t>
  </si>
  <si>
    <t>Cobranza de ventas en el mismo periodo</t>
  </si>
  <si>
    <t>Cobranza de ventas en periodo siguiente (cuentas x cobrar)</t>
  </si>
  <si>
    <t>Cuentas incobrables</t>
  </si>
  <si>
    <t>Cobranza de ventas al Contado</t>
  </si>
  <si>
    <t>Cobranza de ventas al Crédito realizadas en mismo periodo</t>
  </si>
  <si>
    <t>Cobranza de ventas al Crédito realizadas en el periodo anterior</t>
  </si>
  <si>
    <t>Ingreso de Dinero por Ventas</t>
  </si>
  <si>
    <t>Monto total de Compras</t>
  </si>
  <si>
    <t>Pago de compras en el mismo periodo</t>
  </si>
  <si>
    <t>Pago de compras en el periodo siguiente</t>
  </si>
  <si>
    <t>Pago de compras realizadas al contado</t>
  </si>
  <si>
    <t>Pago de compras al Crédito realizadas en el mismo periodo</t>
  </si>
  <si>
    <t>Pago de compras al Credito realizadas en el periodo anterior</t>
  </si>
  <si>
    <t>Egreso de dinero por compras</t>
  </si>
  <si>
    <t>Pago de la cuota del sobregiro</t>
  </si>
  <si>
    <t>TOTAL PERSONAL DE PRODUCCIÓN (S/.)</t>
  </si>
  <si>
    <t>12.3. Personal</t>
  </si>
  <si>
    <t>PERSONAL</t>
  </si>
  <si>
    <t>Otros costos indirectos</t>
  </si>
  <si>
    <t>Laboratorio</t>
  </si>
  <si>
    <t>Almacén</t>
  </si>
  <si>
    <t>Tópico</t>
  </si>
  <si>
    <t>Relaciones Industriales (Planilla)</t>
  </si>
  <si>
    <t>Administracion</t>
  </si>
  <si>
    <t>pamcho4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</si>
</sst>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&quot;S/.&quot;\ #,##0;[Red]&quot;S/.&quot;\ \-#,##0"/>
    <numFmt numFmtId="165" formatCode="&quot;S/.&quot;\ #,##0.00;[Red]&quot;S/.&quot;\ \-#,##0.00"/>
    <numFmt numFmtId="166" formatCode="_ * #,##0.00_ ;_ * \-#,##0.00_ ;_ * &quot;-&quot;??_ ;_ @_ "/>
    <numFmt numFmtId="167" formatCode="_ * #,##0_ ;_ * \-#,##0_ ;_ * &quot;-&quot;??_ ;_ @_ "/>
    <numFmt numFmtId="168" formatCode="0.0%"/>
    <numFmt numFmtId="169" formatCode="#,##0_ ;\-#,##0\ "/>
    <numFmt numFmtId="170" formatCode="#,##0;#,##0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</font>
    <font>
      <sz val="12"/>
      <color theme="1"/>
      <name val="Calibri"/>
      <family val="2"/>
    </font>
    <font>
      <b/>
      <sz val="14"/>
      <color rgb="FFFF0000"/>
      <name val="Calibri"/>
      <family val="2"/>
    </font>
    <font>
      <b/>
      <sz val="12"/>
      <color rgb="FF000000"/>
      <name val="Calibri"/>
      <family val="2"/>
    </font>
    <font>
      <b/>
      <sz val="11"/>
      <color rgb="FF1F497D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7.5"/>
      <name val="Tahoma"/>
      <family val="2"/>
    </font>
    <font>
      <sz val="11"/>
      <color indexed="8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000000"/>
      <name val="Trebuchet MS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1F7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B7DEE8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7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3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wrapText="1" shrinkToFit="1"/>
    </xf>
    <xf numFmtId="9" fontId="0" fillId="0" borderId="0" xfId="0" applyNumberFormat="1"/>
    <xf numFmtId="167" fontId="0" fillId="0" borderId="1" xfId="3" applyNumberFormat="1" applyFont="1" applyBorder="1"/>
    <xf numFmtId="0" fontId="8" fillId="0" borderId="1" xfId="4" applyNumberFormat="1" applyFont="1" applyBorder="1" applyAlignment="1">
      <alignment wrapText="1"/>
    </xf>
    <xf numFmtId="3" fontId="8" fillId="0" borderId="1" xfId="0" applyNumberFormat="1" applyFont="1" applyFill="1" applyBorder="1" applyAlignment="1">
      <alignment horizontal="right" vertical="center"/>
    </xf>
    <xf numFmtId="0" fontId="8" fillId="2" borderId="1" xfId="4" applyNumberFormat="1" applyFont="1" applyFill="1" applyBorder="1" applyAlignment="1">
      <alignment horizontal="left"/>
    </xf>
    <xf numFmtId="0" fontId="9" fillId="2" borderId="1" xfId="4" applyNumberFormat="1" applyFont="1" applyFill="1" applyBorder="1"/>
    <xf numFmtId="0" fontId="10" fillId="0" borderId="0" xfId="4" applyNumberFormat="1" applyFont="1" applyBorder="1" applyAlignment="1">
      <alignment wrapText="1"/>
    </xf>
    <xf numFmtId="0" fontId="11" fillId="0" borderId="0" xfId="0" applyFont="1"/>
    <xf numFmtId="0" fontId="13" fillId="0" borderId="0" xfId="0" applyFont="1"/>
    <xf numFmtId="3" fontId="13" fillId="0" borderId="5" xfId="0" applyNumberFormat="1" applyFont="1" applyBorder="1"/>
    <xf numFmtId="0" fontId="8" fillId="0" borderId="1" xfId="26" applyFont="1" applyBorder="1" applyAlignment="1">
      <alignment horizontal="left" wrapText="1"/>
    </xf>
    <xf numFmtId="3" fontId="0" fillId="0" borderId="1" xfId="0" applyNumberFormat="1" applyFont="1" applyFill="1" applyBorder="1"/>
    <xf numFmtId="3" fontId="0" fillId="0" borderId="0" xfId="0" applyNumberFormat="1"/>
    <xf numFmtId="0" fontId="0" fillId="0" borderId="0" xfId="0" applyBorder="1"/>
    <xf numFmtId="0" fontId="0" fillId="0" borderId="1" xfId="0" applyBorder="1"/>
    <xf numFmtId="0" fontId="12" fillId="0" borderId="1" xfId="0" applyFont="1" applyBorder="1"/>
    <xf numFmtId="3" fontId="0" fillId="0" borderId="1" xfId="0" applyNumberFormat="1" applyBorder="1"/>
    <xf numFmtId="4" fontId="0" fillId="0" borderId="1" xfId="0" applyNumberFormat="1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16" fillId="4" borderId="1" xfId="0" applyFont="1" applyFill="1" applyBorder="1"/>
    <xf numFmtId="168" fontId="0" fillId="0" borderId="1" xfId="5" applyNumberFormat="1" applyFont="1" applyBorder="1"/>
    <xf numFmtId="0" fontId="20" fillId="0" borderId="0" xfId="0" applyFont="1" applyFill="1" applyBorder="1"/>
    <xf numFmtId="0" fontId="21" fillId="4" borderId="1" xfId="0" applyFont="1" applyFill="1" applyBorder="1"/>
    <xf numFmtId="9" fontId="0" fillId="0" borderId="1" xfId="0" applyNumberFormat="1" applyBorder="1"/>
    <xf numFmtId="0" fontId="20" fillId="0" borderId="0" xfId="0" applyFont="1"/>
    <xf numFmtId="0" fontId="18" fillId="0" borderId="0" xfId="0" applyFont="1" applyBorder="1"/>
    <xf numFmtId="3" fontId="0" fillId="0" borderId="0" xfId="0" applyNumberFormat="1" applyFont="1" applyBorder="1" applyAlignment="1">
      <alignment horizontal="right"/>
    </xf>
    <xf numFmtId="0" fontId="22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3" fontId="13" fillId="0" borderId="4" xfId="0" applyNumberFormat="1" applyFont="1" applyBorder="1"/>
    <xf numFmtId="0" fontId="27" fillId="0" borderId="0" xfId="0" applyFont="1" applyFill="1" applyAlignment="1">
      <alignment vertical="center"/>
    </xf>
    <xf numFmtId="0" fontId="28" fillId="0" borderId="0" xfId="0" applyFont="1" applyFill="1"/>
    <xf numFmtId="0" fontId="27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1" fillId="5" borderId="1" xfId="0" applyFont="1" applyFill="1" applyBorder="1" applyAlignment="1">
      <alignment wrapText="1"/>
    </xf>
    <xf numFmtId="3" fontId="32" fillId="0" borderId="1" xfId="0" applyNumberFormat="1" applyFont="1" applyFill="1" applyBorder="1"/>
    <xf numFmtId="0" fontId="33" fillId="0" borderId="0" xfId="0" applyFont="1" applyFill="1" applyBorder="1" applyAlignment="1">
      <alignment wrapText="1"/>
    </xf>
    <xf numFmtId="3" fontId="32" fillId="0" borderId="0" xfId="0" applyNumberFormat="1" applyFont="1" applyFill="1" applyBorder="1"/>
    <xf numFmtId="0" fontId="28" fillId="0" borderId="0" xfId="0" applyFont="1" applyFill="1" applyBorder="1"/>
    <xf numFmtId="0" fontId="28" fillId="0" borderId="0" xfId="0" applyFont="1" applyFill="1" applyBorder="1" applyAlignment="1">
      <alignment wrapText="1"/>
    </xf>
    <xf numFmtId="3" fontId="28" fillId="0" borderId="1" xfId="0" applyNumberFormat="1" applyFont="1" applyFill="1" applyBorder="1"/>
    <xf numFmtId="4" fontId="28" fillId="0" borderId="0" xfId="0" applyNumberFormat="1" applyFont="1" applyFill="1" applyBorder="1"/>
    <xf numFmtId="0" fontId="29" fillId="0" borderId="0" xfId="0" applyFont="1" applyFill="1"/>
    <xf numFmtId="0" fontId="8" fillId="0" borderId="0" xfId="0" applyFont="1"/>
    <xf numFmtId="0" fontId="25" fillId="5" borderId="6" xfId="0" applyFont="1" applyFill="1" applyBorder="1"/>
    <xf numFmtId="169" fontId="8" fillId="0" borderId="5" xfId="0" applyNumberFormat="1" applyFont="1" applyBorder="1"/>
    <xf numFmtId="167" fontId="8" fillId="0" borderId="0" xfId="0" applyNumberFormat="1" applyFont="1"/>
    <xf numFmtId="0" fontId="20" fillId="7" borderId="0" xfId="0" applyFont="1" applyFill="1"/>
    <xf numFmtId="167" fontId="8" fillId="0" borderId="4" xfId="0" applyNumberFormat="1" applyFont="1" applyBorder="1"/>
    <xf numFmtId="1" fontId="0" fillId="0" borderId="1" xfId="0" applyNumberFormat="1" applyBorder="1"/>
    <xf numFmtId="1" fontId="0" fillId="0" borderId="0" xfId="0" applyNumberFormat="1" applyBorder="1" applyAlignment="1"/>
    <xf numFmtId="1" fontId="0" fillId="0" borderId="0" xfId="0" applyNumberFormat="1" applyBorder="1"/>
    <xf numFmtId="3" fontId="0" fillId="0" borderId="0" xfId="0" applyNumberFormat="1" applyBorder="1"/>
    <xf numFmtId="2" fontId="13" fillId="0" borderId="0" xfId="0" applyNumberFormat="1" applyFont="1"/>
    <xf numFmtId="3" fontId="0" fillId="0" borderId="1" xfId="0" applyNumberFormat="1" applyFont="1" applyBorder="1"/>
    <xf numFmtId="0" fontId="0" fillId="0" borderId="1" xfId="0" applyFont="1" applyBorder="1"/>
    <xf numFmtId="0" fontId="9" fillId="0" borderId="0" xfId="0" applyFont="1" applyAlignment="1">
      <alignment vertical="center"/>
    </xf>
    <xf numFmtId="3" fontId="13" fillId="0" borderId="0" xfId="0" applyNumberFormat="1" applyFont="1"/>
    <xf numFmtId="0" fontId="25" fillId="5" borderId="1" xfId="0" applyFont="1" applyFill="1" applyBorder="1"/>
    <xf numFmtId="0" fontId="14" fillId="0" borderId="0" xfId="0" applyFont="1" applyAlignment="1">
      <alignment vertical="center"/>
    </xf>
    <xf numFmtId="3" fontId="0" fillId="0" borderId="1" xfId="0" applyNumberFormat="1" applyBorder="1" applyAlignment="1">
      <alignment wrapText="1"/>
    </xf>
    <xf numFmtId="0" fontId="0" fillId="0" borderId="0" xfId="0" applyFill="1"/>
    <xf numFmtId="0" fontId="9" fillId="0" borderId="0" xfId="0" applyFont="1"/>
    <xf numFmtId="0" fontId="9" fillId="0" borderId="0" xfId="0" applyFont="1" applyAlignment="1">
      <alignment horizontal="center"/>
    </xf>
    <xf numFmtId="3" fontId="18" fillId="0" borderId="1" xfId="41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wrapText="1"/>
    </xf>
    <xf numFmtId="0" fontId="0" fillId="0" borderId="1" xfId="64" applyFont="1" applyFill="1" applyBorder="1"/>
    <xf numFmtId="0" fontId="0" fillId="0" borderId="2" xfId="64" applyFont="1" applyFill="1" applyBorder="1" applyAlignment="1">
      <alignment wrapText="1"/>
    </xf>
    <xf numFmtId="0" fontId="37" fillId="6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/>
    <xf numFmtId="0" fontId="0" fillId="0" borderId="0" xfId="0" applyFont="1" applyBorder="1"/>
    <xf numFmtId="0" fontId="38" fillId="3" borderId="1" xfId="0" applyFont="1" applyFill="1" applyBorder="1"/>
    <xf numFmtId="0" fontId="39" fillId="4" borderId="2" xfId="64" applyFont="1" applyFill="1" applyBorder="1" applyAlignment="1">
      <alignment wrapText="1"/>
    </xf>
    <xf numFmtId="3" fontId="0" fillId="6" borderId="1" xfId="0" applyNumberFormat="1" applyFill="1" applyBorder="1"/>
    <xf numFmtId="0" fontId="39" fillId="4" borderId="1" xfId="64" applyFont="1" applyFill="1" applyBorder="1" applyAlignment="1">
      <alignment wrapText="1"/>
    </xf>
    <xf numFmtId="0" fontId="40" fillId="0" borderId="2" xfId="64" applyFont="1" applyFill="1" applyBorder="1" applyAlignment="1">
      <alignment horizontal="left" wrapText="1" indent="1"/>
    </xf>
    <xf numFmtId="3" fontId="0" fillId="6" borderId="1" xfId="0" applyNumberFormat="1" applyFont="1" applyFill="1" applyBorder="1"/>
    <xf numFmtId="0" fontId="33" fillId="0" borderId="2" xfId="64" applyFont="1" applyFill="1" applyBorder="1" applyAlignment="1">
      <alignment vertical="center" wrapText="1"/>
    </xf>
    <xf numFmtId="167" fontId="0" fillId="6" borderId="1" xfId="3" applyNumberFormat="1" applyFont="1" applyFill="1" applyBorder="1"/>
    <xf numFmtId="3" fontId="0" fillId="6" borderId="1" xfId="3" applyNumberFormat="1" applyFont="1" applyFill="1" applyBorder="1"/>
    <xf numFmtId="3" fontId="41" fillId="0" borderId="0" xfId="41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169" fontId="42" fillId="0" borderId="1" xfId="0" applyNumberFormat="1" applyFont="1" applyBorder="1" applyAlignment="1"/>
    <xf numFmtId="9" fontId="0" fillId="0" borderId="1" xfId="0" applyNumberFormat="1" applyFont="1" applyBorder="1" applyAlignment="1">
      <alignment vertical="center"/>
    </xf>
    <xf numFmtId="169" fontId="42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9" fontId="0" fillId="0" borderId="1" xfId="3" applyNumberFormat="1" applyFont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wrapText="1"/>
    </xf>
    <xf numFmtId="164" fontId="0" fillId="0" borderId="0" xfId="0" applyNumberFormat="1" applyFont="1" applyBorder="1" applyAlignment="1">
      <alignment vertical="center"/>
    </xf>
    <xf numFmtId="0" fontId="0" fillId="0" borderId="0" xfId="0" applyNumberFormat="1" applyFont="1" applyFill="1" applyBorder="1" applyAlignment="1" applyProtection="1">
      <alignment horizontal="left" wrapText="1"/>
    </xf>
    <xf numFmtId="169" fontId="11" fillId="0" borderId="1" xfId="0" applyNumberFormat="1" applyFont="1" applyBorder="1" applyAlignment="1">
      <alignment horizontal="right"/>
    </xf>
    <xf numFmtId="0" fontId="40" fillId="0" borderId="0" xfId="0" applyFont="1" applyFill="1" applyBorder="1"/>
    <xf numFmtId="0" fontId="40" fillId="0" borderId="1" xfId="0" applyFont="1" applyFill="1" applyBorder="1"/>
    <xf numFmtId="3" fontId="22" fillId="0" borderId="0" xfId="0" applyNumberFormat="1" applyFont="1" applyAlignment="1">
      <alignment vertical="center"/>
    </xf>
    <xf numFmtId="3" fontId="17" fillId="0" borderId="0" xfId="0" applyNumberFormat="1" applyFont="1" applyAlignment="1">
      <alignment horizontal="left"/>
    </xf>
    <xf numFmtId="3" fontId="21" fillId="4" borderId="1" xfId="0" applyNumberFormat="1" applyFont="1" applyFill="1" applyBorder="1"/>
    <xf numFmtId="3" fontId="44" fillId="4" borderId="1" xfId="0" applyNumberFormat="1" applyFont="1" applyFill="1" applyBorder="1" applyAlignment="1">
      <alignment horizontal="center" vertical="center" wrapText="1"/>
    </xf>
    <xf numFmtId="3" fontId="0" fillId="12" borderId="1" xfId="0" applyNumberFormat="1" applyFill="1" applyBorder="1"/>
    <xf numFmtId="0" fontId="6" fillId="13" borderId="1" xfId="0" applyFont="1" applyFill="1" applyBorder="1" applyAlignment="1">
      <alignment horizontal="center" vertical="center" wrapText="1"/>
    </xf>
    <xf numFmtId="0" fontId="26" fillId="4" borderId="1" xfId="0" applyFont="1" applyFill="1" applyBorder="1"/>
    <xf numFmtId="0" fontId="34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3" fontId="0" fillId="14" borderId="1" xfId="0" applyNumberFormat="1" applyFill="1" applyBorder="1"/>
    <xf numFmtId="4" fontId="0" fillId="14" borderId="1" xfId="0" applyNumberFormat="1" applyFill="1" applyBorder="1"/>
    <xf numFmtId="9" fontId="0" fillId="14" borderId="1" xfId="0" applyNumberFormat="1" applyFill="1" applyBorder="1"/>
    <xf numFmtId="3" fontId="13" fillId="15" borderId="6" xfId="0" applyNumberFormat="1" applyFont="1" applyFill="1" applyBorder="1"/>
    <xf numFmtId="3" fontId="13" fillId="15" borderId="5" xfId="0" applyNumberFormat="1" applyFont="1" applyFill="1" applyBorder="1"/>
    <xf numFmtId="9" fontId="13" fillId="15" borderId="5" xfId="0" applyNumberFormat="1" applyFont="1" applyFill="1" applyBorder="1"/>
    <xf numFmtId="3" fontId="0" fillId="14" borderId="1" xfId="0" applyNumberFormat="1" applyFont="1" applyFill="1" applyBorder="1"/>
    <xf numFmtId="9" fontId="8" fillId="16" borderId="5" xfId="0" applyNumberFormat="1" applyFont="1" applyFill="1" applyBorder="1" applyAlignment="1">
      <alignment horizontal="right" vertical="center"/>
    </xf>
    <xf numFmtId="3" fontId="8" fillId="16" borderId="5" xfId="0" applyNumberFormat="1" applyFont="1" applyFill="1" applyBorder="1" applyAlignment="1">
      <alignment horizontal="right" vertical="center"/>
    </xf>
    <xf numFmtId="3" fontId="8" fillId="16" borderId="1" xfId="0" applyNumberFormat="1" applyFont="1" applyFill="1" applyBorder="1" applyAlignment="1">
      <alignment horizontal="right" vertical="center"/>
    </xf>
    <xf numFmtId="3" fontId="13" fillId="17" borderId="6" xfId="0" applyNumberFormat="1" applyFont="1" applyFill="1" applyBorder="1"/>
    <xf numFmtId="0" fontId="36" fillId="9" borderId="1" xfId="64" applyFont="1" applyFill="1" applyBorder="1" applyAlignment="1">
      <alignment horizontal="center"/>
    </xf>
    <xf numFmtId="3" fontId="36" fillId="9" borderId="1" xfId="0" applyNumberFormat="1" applyFont="1" applyFill="1" applyBorder="1"/>
    <xf numFmtId="0" fontId="36" fillId="9" borderId="1" xfId="0" applyFont="1" applyFill="1" applyBorder="1" applyAlignment="1">
      <alignment horizontal="center"/>
    </xf>
    <xf numFmtId="0" fontId="17" fillId="0" borderId="0" xfId="0" applyFont="1"/>
    <xf numFmtId="4" fontId="0" fillId="0" borderId="0" xfId="0" applyNumberFormat="1"/>
    <xf numFmtId="3" fontId="13" fillId="0" borderId="4" xfId="0" applyNumberFormat="1" applyFont="1" applyBorder="1" applyAlignment="1">
      <alignment wrapText="1"/>
    </xf>
    <xf numFmtId="3" fontId="13" fillId="0" borderId="5" xfId="0" applyNumberFormat="1" applyFont="1" applyBorder="1" applyAlignment="1">
      <alignment wrapText="1"/>
    </xf>
    <xf numFmtId="3" fontId="13" fillId="0" borderId="5" xfId="0" quotePrefix="1" applyNumberFormat="1" applyFont="1" applyBorder="1" applyAlignment="1">
      <alignment wrapText="1"/>
    </xf>
    <xf numFmtId="4" fontId="13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26" fillId="0" borderId="0" xfId="0" applyFont="1" applyFill="1" applyBorder="1"/>
    <xf numFmtId="4" fontId="0" fillId="0" borderId="0" xfId="0" applyNumberFormat="1" applyFont="1" applyFill="1" applyBorder="1"/>
    <xf numFmtId="0" fontId="14" fillId="0" borderId="0" xfId="0" applyFont="1" applyFill="1" applyBorder="1"/>
    <xf numFmtId="3" fontId="17" fillId="0" borderId="1" xfId="0" applyNumberFormat="1" applyFont="1" applyBorder="1" applyAlignment="1">
      <alignment horizontal="right"/>
    </xf>
    <xf numFmtId="3" fontId="17" fillId="0" borderId="1" xfId="0" applyNumberFormat="1" applyFont="1" applyBorder="1"/>
    <xf numFmtId="3" fontId="17" fillId="0" borderId="1" xfId="0" applyNumberFormat="1" applyFont="1" applyBorder="1" applyAlignment="1">
      <alignment vertical="center"/>
    </xf>
    <xf numFmtId="167" fontId="17" fillId="0" borderId="1" xfId="3" applyNumberFormat="1" applyFont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34" fillId="0" borderId="1" xfId="0" applyFont="1" applyBorder="1" applyAlignment="1">
      <alignment horizontal="center" vertical="center"/>
    </xf>
    <xf numFmtId="4" fontId="17" fillId="0" borderId="1" xfId="0" applyNumberFormat="1" applyFont="1" applyBorder="1"/>
    <xf numFmtId="4" fontId="23" fillId="0" borderId="4" xfId="0" applyNumberFormat="1" applyFont="1" applyBorder="1"/>
    <xf numFmtId="0" fontId="6" fillId="0" borderId="0" xfId="0" applyNumberFormat="1" applyFont="1" applyFill="1" applyBorder="1" applyAlignment="1">
      <alignment vertical="center" wrapText="1"/>
    </xf>
    <xf numFmtId="3" fontId="24" fillId="9" borderId="1" xfId="41" applyNumberFormat="1" applyFont="1" applyFill="1" applyBorder="1" applyAlignment="1">
      <alignment horizontal="left" vertical="center" wrapText="1"/>
    </xf>
    <xf numFmtId="3" fontId="24" fillId="9" borderId="1" xfId="41" applyNumberFormat="1" applyFont="1" applyFill="1" applyBorder="1" applyAlignment="1">
      <alignment horizontal="center" vertical="center" wrapText="1"/>
    </xf>
    <xf numFmtId="3" fontId="26" fillId="9" borderId="1" xfId="41" applyNumberFormat="1" applyFont="1" applyFill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/>
    </xf>
    <xf numFmtId="0" fontId="9" fillId="18" borderId="1" xfId="0" applyFont="1" applyFill="1" applyBorder="1"/>
    <xf numFmtId="0" fontId="9" fillId="15" borderId="1" xfId="0" applyFont="1" applyFill="1" applyBorder="1"/>
    <xf numFmtId="0" fontId="46" fillId="0" borderId="0" xfId="0" applyFont="1"/>
    <xf numFmtId="2" fontId="0" fillId="14" borderId="1" xfId="0" applyNumberFormat="1" applyFill="1" applyBorder="1"/>
    <xf numFmtId="9" fontId="23" fillId="0" borderId="1" xfId="0" applyNumberFormat="1" applyFont="1" applyBorder="1"/>
    <xf numFmtId="3" fontId="26" fillId="9" borderId="1" xfId="41" applyNumberFormat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left" wrapText="1"/>
    </xf>
    <xf numFmtId="0" fontId="0" fillId="3" borderId="2" xfId="0" applyFill="1" applyBorder="1" applyAlignment="1"/>
    <xf numFmtId="0" fontId="0" fillId="3" borderId="3" xfId="0" applyFill="1" applyBorder="1" applyAlignment="1"/>
    <xf numFmtId="0" fontId="17" fillId="3" borderId="2" xfId="0" applyFont="1" applyFill="1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3" fontId="0" fillId="3" borderId="3" xfId="0" applyNumberFormat="1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3" fontId="17" fillId="3" borderId="2" xfId="0" applyNumberFormat="1" applyFont="1" applyFill="1" applyBorder="1" applyAlignment="1">
      <alignment vertical="center"/>
    </xf>
    <xf numFmtId="3" fontId="17" fillId="3" borderId="2" xfId="0" applyNumberFormat="1" applyFont="1" applyFill="1" applyBorder="1" applyAlignment="1">
      <alignment wrapText="1"/>
    </xf>
    <xf numFmtId="3" fontId="24" fillId="9" borderId="2" xfId="41" applyNumberFormat="1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9" fontId="0" fillId="0" borderId="0" xfId="0" applyNumberFormat="1" applyBorder="1"/>
    <xf numFmtId="0" fontId="11" fillId="0" borderId="0" xfId="0" applyFont="1" applyAlignment="1">
      <alignment vertical="top"/>
    </xf>
    <xf numFmtId="9" fontId="0" fillId="14" borderId="1" xfId="5" applyFont="1" applyFill="1" applyBorder="1" applyAlignment="1"/>
    <xf numFmtId="9" fontId="0" fillId="14" borderId="1" xfId="5" applyFont="1" applyFill="1" applyBorder="1"/>
    <xf numFmtId="0" fontId="24" fillId="3" borderId="2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/>
    <xf numFmtId="0" fontId="0" fillId="12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10" fontId="0" fillId="0" borderId="0" xfId="0" applyNumberFormat="1"/>
    <xf numFmtId="3" fontId="40" fillId="0" borderId="1" xfId="0" applyNumberFormat="1" applyFont="1" applyFill="1" applyBorder="1"/>
    <xf numFmtId="3" fontId="40" fillId="19" borderId="1" xfId="0" applyNumberFormat="1" applyFont="1" applyFill="1" applyBorder="1"/>
    <xf numFmtId="3" fontId="40" fillId="0" borderId="10" xfId="0" applyNumberFormat="1" applyFont="1" applyFill="1" applyBorder="1"/>
    <xf numFmtId="3" fontId="40" fillId="0" borderId="11" xfId="0" applyNumberFormat="1" applyFont="1" applyFill="1" applyBorder="1"/>
    <xf numFmtId="2" fontId="40" fillId="0" borderId="12" xfId="0" applyNumberFormat="1" applyFont="1" applyFill="1" applyBorder="1"/>
    <xf numFmtId="2" fontId="40" fillId="0" borderId="0" xfId="0" applyNumberFormat="1" applyFont="1" applyFill="1" applyBorder="1"/>
    <xf numFmtId="3" fontId="24" fillId="0" borderId="0" xfId="41" applyNumberFormat="1" applyFont="1" applyFill="1" applyBorder="1" applyAlignment="1">
      <alignment horizontal="left" vertical="center" wrapText="1"/>
    </xf>
    <xf numFmtId="4" fontId="32" fillId="0" borderId="1" xfId="0" applyNumberFormat="1" applyFont="1" applyFill="1" applyBorder="1"/>
    <xf numFmtId="3" fontId="0" fillId="0" borderId="0" xfId="0" applyNumberFormat="1" applyFont="1" applyFill="1" applyBorder="1"/>
    <xf numFmtId="0" fontId="8" fillId="0" borderId="0" xfId="26" applyFont="1" applyFill="1" applyBorder="1" applyAlignment="1">
      <alignment horizontal="left" wrapText="1"/>
    </xf>
    <xf numFmtId="3" fontId="13" fillId="0" borderId="0" xfId="0" applyNumberFormat="1" applyFont="1" applyFill="1" applyBorder="1"/>
    <xf numFmtId="9" fontId="13" fillId="0" borderId="0" xfId="0" applyNumberFormat="1" applyFont="1" applyFill="1" applyBorder="1"/>
    <xf numFmtId="10" fontId="0" fillId="0" borderId="1" xfId="0" applyNumberFormat="1" applyBorder="1"/>
    <xf numFmtId="0" fontId="6" fillId="13" borderId="6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8" fillId="2" borderId="1" xfId="0" applyFont="1" applyFill="1" applyBorder="1" applyAlignment="1">
      <alignment vertical="center"/>
    </xf>
    <xf numFmtId="3" fontId="49" fillId="0" borderId="0" xfId="0" applyNumberFormat="1" applyFont="1" applyAlignment="1">
      <alignment vertical="center"/>
    </xf>
    <xf numFmtId="3" fontId="21" fillId="4" borderId="1" xfId="0" applyNumberFormat="1" applyFont="1" applyFill="1" applyBorder="1" applyAlignment="1">
      <alignment wrapText="1"/>
    </xf>
    <xf numFmtId="3" fontId="24" fillId="20" borderId="1" xfId="0" applyNumberFormat="1" applyFont="1" applyFill="1" applyBorder="1"/>
    <xf numFmtId="3" fontId="24" fillId="21" borderId="1" xfId="0" applyNumberFormat="1" applyFont="1" applyFill="1" applyBorder="1"/>
    <xf numFmtId="3" fontId="24" fillId="4" borderId="1" xfId="0" applyNumberFormat="1" applyFont="1" applyFill="1" applyBorder="1"/>
    <xf numFmtId="3" fontId="21" fillId="12" borderId="1" xfId="0" applyNumberFormat="1" applyFont="1" applyFill="1" applyBorder="1"/>
    <xf numFmtId="0" fontId="50" fillId="22" borderId="1" xfId="0" applyFont="1" applyFill="1" applyBorder="1" applyAlignment="1">
      <alignment horizontal="center" vertical="center" wrapText="1"/>
    </xf>
    <xf numFmtId="0" fontId="50" fillId="22" borderId="4" xfId="0" applyFont="1" applyFill="1" applyBorder="1" applyAlignment="1">
      <alignment horizontal="center" vertical="center" wrapText="1"/>
    </xf>
    <xf numFmtId="3" fontId="13" fillId="0" borderId="6" xfId="0" applyNumberFormat="1" applyFont="1" applyBorder="1"/>
    <xf numFmtId="0" fontId="13" fillId="0" borderId="6" xfId="0" applyFont="1" applyBorder="1"/>
    <xf numFmtId="0" fontId="6" fillId="13" borderId="4" xfId="0" applyFont="1" applyFill="1" applyBorder="1" applyAlignment="1">
      <alignment horizontal="center" vertical="center" wrapText="1"/>
    </xf>
    <xf numFmtId="168" fontId="0" fillId="0" borderId="1" xfId="5" applyNumberFormat="1" applyFont="1" applyBorder="1" applyAlignment="1">
      <alignment vertical="center"/>
    </xf>
    <xf numFmtId="3" fontId="0" fillId="0" borderId="1" xfId="0" quotePrefix="1" applyNumberFormat="1" applyBorder="1"/>
    <xf numFmtId="4" fontId="13" fillId="23" borderId="6" xfId="0" applyNumberFormat="1" applyFont="1" applyFill="1" applyBorder="1"/>
    <xf numFmtId="3" fontId="13" fillId="23" borderId="5" xfId="0" applyNumberFormat="1" applyFont="1" applyFill="1" applyBorder="1"/>
    <xf numFmtId="4" fontId="13" fillId="23" borderId="5" xfId="0" applyNumberFormat="1" applyFont="1" applyFill="1" applyBorder="1"/>
    <xf numFmtId="0" fontId="20" fillId="0" borderId="0" xfId="26" applyFont="1" applyBorder="1" applyAlignment="1"/>
    <xf numFmtId="0" fontId="16" fillId="4" borderId="2" xfId="4" applyNumberFormat="1" applyFont="1" applyFill="1" applyBorder="1" applyAlignment="1">
      <alignment wrapText="1"/>
    </xf>
    <xf numFmtId="0" fontId="9" fillId="0" borderId="0" xfId="26" applyFont="1" applyBorder="1" applyAlignment="1">
      <alignment horizontal="right" wrapText="1"/>
    </xf>
    <xf numFmtId="3" fontId="17" fillId="14" borderId="1" xfId="0" applyNumberFormat="1" applyFont="1" applyFill="1" applyBorder="1"/>
    <xf numFmtId="0" fontId="6" fillId="13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3" fontId="6" fillId="13" borderId="17" xfId="0" applyNumberFormat="1" applyFont="1" applyFill="1" applyBorder="1" applyAlignment="1">
      <alignment horizontal="center" vertical="center" wrapText="1"/>
    </xf>
    <xf numFmtId="1" fontId="6" fillId="13" borderId="17" xfId="0" applyNumberFormat="1" applyFont="1" applyFill="1" applyBorder="1" applyAlignment="1">
      <alignment horizontal="center" vertical="center" wrapText="1"/>
    </xf>
    <xf numFmtId="169" fontId="18" fillId="0" borderId="1" xfId="3" applyNumberFormat="1" applyFont="1" applyFill="1" applyBorder="1" applyAlignment="1">
      <alignment horizontal="right" vertical="center" wrapText="1"/>
    </xf>
    <xf numFmtId="3" fontId="26" fillId="0" borderId="1" xfId="41" applyNumberFormat="1" applyFont="1" applyFill="1" applyBorder="1" applyAlignment="1">
      <alignment horizontal="left" vertical="center" wrapText="1"/>
    </xf>
    <xf numFmtId="169" fontId="26" fillId="0" borderId="1" xfId="3" applyNumberFormat="1" applyFont="1" applyFill="1" applyBorder="1" applyAlignment="1">
      <alignment horizontal="right" vertical="center" wrapText="1"/>
    </xf>
    <xf numFmtId="3" fontId="18" fillId="0" borderId="0" xfId="41" applyNumberFormat="1" applyFont="1" applyFill="1" applyBorder="1" applyAlignment="1">
      <alignment horizontal="left" vertical="center" wrapText="1"/>
    </xf>
    <xf numFmtId="167" fontId="18" fillId="0" borderId="0" xfId="3" applyNumberFormat="1" applyFont="1" applyFill="1" applyBorder="1" applyAlignment="1">
      <alignment horizontal="right" vertical="center" wrapText="1"/>
    </xf>
    <xf numFmtId="3" fontId="26" fillId="9" borderId="1" xfId="41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34" fillId="0" borderId="0" xfId="0" applyFont="1"/>
    <xf numFmtId="0" fontId="6" fillId="13" borderId="14" xfId="0" applyNumberFormat="1" applyFont="1" applyFill="1" applyBorder="1" applyAlignment="1">
      <alignment horizontal="center" vertical="center" wrapText="1"/>
    </xf>
    <xf numFmtId="0" fontId="0" fillId="19" borderId="1" xfId="0" applyFill="1" applyBorder="1"/>
    <xf numFmtId="0" fontId="17" fillId="19" borderId="1" xfId="0" applyFont="1" applyFill="1" applyBorder="1"/>
    <xf numFmtId="37" fontId="0" fillId="0" borderId="1" xfId="0" applyNumberFormat="1" applyBorder="1"/>
    <xf numFmtId="3" fontId="13" fillId="0" borderId="1" xfId="0" applyNumberFormat="1" applyFont="1" applyBorder="1"/>
    <xf numFmtId="3" fontId="8" fillId="16" borderId="1" xfId="5" applyNumberFormat="1" applyFont="1" applyFill="1" applyBorder="1" applyAlignment="1">
      <alignment horizontal="right" vertical="center"/>
    </xf>
    <xf numFmtId="9" fontId="8" fillId="16" borderId="1" xfId="5" applyFont="1" applyFill="1" applyBorder="1" applyAlignment="1">
      <alignment horizontal="right" vertic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14" borderId="1" xfId="0" applyFill="1" applyBorder="1"/>
    <xf numFmtId="2" fontId="1" fillId="0" borderId="0" xfId="0" applyNumberFormat="1" applyFont="1"/>
    <xf numFmtId="2" fontId="1" fillId="0" borderId="1" xfId="0" applyNumberFormat="1" applyFont="1" applyBorder="1" applyAlignment="1">
      <alignment horizontal="center"/>
    </xf>
    <xf numFmtId="3" fontId="51" fillId="14" borderId="1" xfId="0" applyNumberFormat="1" applyFont="1" applyFill="1" applyBorder="1"/>
    <xf numFmtId="166" fontId="8" fillId="0" borderId="0" xfId="0" applyNumberFormat="1" applyFont="1"/>
    <xf numFmtId="3" fontId="52" fillId="0" borderId="1" xfId="0" applyNumberFormat="1" applyFont="1" applyFill="1" applyBorder="1"/>
    <xf numFmtId="3" fontId="51" fillId="0" borderId="1" xfId="0" applyNumberFormat="1" applyFont="1" applyBorder="1"/>
    <xf numFmtId="167" fontId="0" fillId="0" borderId="0" xfId="0" applyNumberFormat="1"/>
    <xf numFmtId="3" fontId="6" fillId="13" borderId="1" xfId="0" applyNumberFormat="1" applyFont="1" applyFill="1" applyBorder="1" applyAlignment="1">
      <alignment horizontal="center" vertical="center" wrapText="1"/>
    </xf>
    <xf numFmtId="2" fontId="51" fillId="0" borderId="0" xfId="0" applyNumberFormat="1" applyFont="1"/>
    <xf numFmtId="2" fontId="9" fillId="0" borderId="0" xfId="0" applyNumberFormat="1" applyFont="1" applyAlignment="1">
      <alignment horizontal="center"/>
    </xf>
    <xf numFmtId="3" fontId="11" fillId="0" borderId="0" xfId="0" applyNumberFormat="1" applyFont="1"/>
    <xf numFmtId="3" fontId="0" fillId="4" borderId="1" xfId="0" applyNumberFormat="1" applyFill="1" applyBorder="1"/>
    <xf numFmtId="3" fontId="0" fillId="4" borderId="1" xfId="0" applyNumberFormat="1" applyFont="1" applyFill="1" applyBorder="1" applyAlignment="1">
      <alignment horizontal="right"/>
    </xf>
    <xf numFmtId="0" fontId="6" fillId="13" borderId="18" xfId="0" applyFont="1" applyFill="1" applyBorder="1" applyAlignment="1">
      <alignment horizontal="center" vertical="center" wrapText="1"/>
    </xf>
    <xf numFmtId="3" fontId="24" fillId="21" borderId="18" xfId="0" applyNumberFormat="1" applyFont="1" applyFill="1" applyBorder="1"/>
    <xf numFmtId="3" fontId="0" fillId="0" borderId="18" xfId="0" applyNumberFormat="1" applyBorder="1"/>
    <xf numFmtId="3" fontId="24" fillId="20" borderId="18" xfId="0" applyNumberFormat="1" applyFont="1" applyFill="1" applyBorder="1"/>
    <xf numFmtId="3" fontId="21" fillId="12" borderId="18" xfId="0" applyNumberFormat="1" applyFont="1" applyFill="1" applyBorder="1"/>
    <xf numFmtId="3" fontId="24" fillId="20" borderId="14" xfId="0" applyNumberFormat="1" applyFont="1" applyFill="1" applyBorder="1"/>
    <xf numFmtId="0" fontId="0" fillId="0" borderId="18" xfId="0" applyBorder="1"/>
    <xf numFmtId="3" fontId="32" fillId="0" borderId="18" xfId="0" applyNumberFormat="1" applyFont="1" applyFill="1" applyBorder="1"/>
    <xf numFmtId="3" fontId="33" fillId="0" borderId="18" xfId="0" applyNumberFormat="1" applyFont="1" applyFill="1" applyBorder="1"/>
    <xf numFmtId="0" fontId="6" fillId="13" borderId="18" xfId="0" applyFont="1" applyFill="1" applyBorder="1" applyAlignment="1">
      <alignment horizontal="center" vertical="center" wrapText="1"/>
    </xf>
    <xf numFmtId="0" fontId="6" fillId="13" borderId="18" xfId="0" applyNumberFormat="1" applyFont="1" applyFill="1" applyBorder="1" applyAlignment="1">
      <alignment horizontal="center" vertical="center" wrapText="1"/>
    </xf>
    <xf numFmtId="0" fontId="16" fillId="19" borderId="2" xfId="0" applyFont="1" applyFill="1" applyBorder="1"/>
    <xf numFmtId="3" fontId="0" fillId="19" borderId="18" xfId="0" applyNumberFormat="1" applyFill="1" applyBorder="1"/>
    <xf numFmtId="0" fontId="16" fillId="19" borderId="7" xfId="0" applyFont="1" applyFill="1" applyBorder="1"/>
    <xf numFmtId="0" fontId="16" fillId="0" borderId="19" xfId="0" applyFont="1" applyFill="1" applyBorder="1"/>
    <xf numFmtId="0" fontId="16" fillId="4" borderId="18" xfId="0" applyFont="1" applyFill="1" applyBorder="1"/>
    <xf numFmtId="170" fontId="53" fillId="19" borderId="18" xfId="0" applyNumberFormat="1" applyFont="1" applyFill="1" applyBorder="1" applyAlignment="1">
      <alignment horizontal="left" vertical="center" wrapText="1"/>
    </xf>
    <xf numFmtId="3" fontId="17" fillId="19" borderId="18" xfId="0" applyNumberFormat="1" applyFont="1" applyFill="1" applyBorder="1"/>
    <xf numFmtId="0" fontId="16" fillId="0" borderId="0" xfId="0" applyFont="1" applyFill="1" applyBorder="1"/>
    <xf numFmtId="0" fontId="16" fillId="4" borderId="9" xfId="0" applyFont="1" applyFill="1" applyBorder="1"/>
    <xf numFmtId="3" fontId="0" fillId="0" borderId="6" xfId="0" applyNumberFormat="1" applyBorder="1"/>
    <xf numFmtId="0" fontId="16" fillId="19" borderId="2" xfId="0" applyFont="1" applyFill="1" applyBorder="1" applyAlignment="1">
      <alignment wrapText="1"/>
    </xf>
    <xf numFmtId="3" fontId="0" fillId="0" borderId="18" xfId="0" applyNumberFormat="1" applyFont="1" applyBorder="1"/>
    <xf numFmtId="0" fontId="48" fillId="3" borderId="18" xfId="0" applyNumberFormat="1" applyFont="1" applyFill="1" applyBorder="1" applyAlignment="1">
      <alignment horizontal="center" vertical="center" wrapText="1"/>
    </xf>
    <xf numFmtId="0" fontId="16" fillId="4" borderId="14" xfId="0" applyFont="1" applyFill="1" applyBorder="1"/>
    <xf numFmtId="0" fontId="26" fillId="19" borderId="18" xfId="0" applyFont="1" applyFill="1" applyBorder="1"/>
    <xf numFmtId="3" fontId="24" fillId="19" borderId="18" xfId="0" applyNumberFormat="1" applyFont="1" applyFill="1" applyBorder="1"/>
    <xf numFmtId="0" fontId="16" fillId="4" borderId="18" xfId="0" applyFont="1" applyFill="1" applyBorder="1" applyAlignment="1">
      <alignment wrapText="1"/>
    </xf>
    <xf numFmtId="3" fontId="21" fillId="4" borderId="18" xfId="0" applyNumberFormat="1" applyFont="1" applyFill="1" applyBorder="1" applyAlignment="1">
      <alignment wrapText="1"/>
    </xf>
    <xf numFmtId="167" fontId="0" fillId="0" borderId="18" xfId="3" applyNumberFormat="1" applyFont="1" applyBorder="1"/>
    <xf numFmtId="3" fontId="24" fillId="9" borderId="18" xfId="41" applyNumberFormat="1" applyFont="1" applyFill="1" applyBorder="1" applyAlignment="1">
      <alignment horizontal="center" vertical="center" wrapText="1"/>
    </xf>
    <xf numFmtId="167" fontId="17" fillId="0" borderId="18" xfId="3" applyNumberFormat="1" applyFont="1" applyBorder="1"/>
    <xf numFmtId="0" fontId="31" fillId="5" borderId="18" xfId="0" applyFont="1" applyFill="1" applyBorder="1" applyAlignment="1">
      <alignment wrapText="1"/>
    </xf>
    <xf numFmtId="167" fontId="0" fillId="0" borderId="18" xfId="3" applyNumberFormat="1" applyFont="1" applyBorder="1" applyAlignment="1">
      <alignment horizontal="right"/>
    </xf>
    <xf numFmtId="167" fontId="17" fillId="0" borderId="18" xfId="3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 vertical="center"/>
    </xf>
    <xf numFmtId="0" fontId="9" fillId="0" borderId="0" xfId="4" applyNumberFormat="1" applyFont="1" applyFill="1" applyBorder="1"/>
    <xf numFmtId="0" fontId="10" fillId="0" borderId="0" xfId="4" applyNumberFormat="1" applyFont="1" applyFill="1" applyBorder="1" applyAlignment="1">
      <alignment wrapText="1"/>
    </xf>
    <xf numFmtId="0" fontId="8" fillId="2" borderId="18" xfId="0" applyFont="1" applyFill="1" applyBorder="1" applyAlignment="1">
      <alignment vertical="center"/>
    </xf>
    <xf numFmtId="3" fontId="8" fillId="16" borderId="18" xfId="0" applyNumberFormat="1" applyFont="1" applyFill="1" applyBorder="1" applyAlignment="1">
      <alignment horizontal="right" vertical="center"/>
    </xf>
    <xf numFmtId="3" fontId="8" fillId="0" borderId="18" xfId="0" applyNumberFormat="1" applyFont="1" applyFill="1" applyBorder="1" applyAlignment="1">
      <alignment horizontal="right" vertical="center"/>
    </xf>
    <xf numFmtId="169" fontId="26" fillId="9" borderId="1" xfId="3" applyNumberFormat="1" applyFont="1" applyFill="1" applyBorder="1" applyAlignment="1">
      <alignment horizontal="right" vertical="center" wrapText="1"/>
    </xf>
    <xf numFmtId="3" fontId="18" fillId="0" borderId="1" xfId="3" applyNumberFormat="1" applyFont="1" applyFill="1" applyBorder="1" applyAlignment="1">
      <alignment horizontal="right" vertical="center" wrapText="1"/>
    </xf>
    <xf numFmtId="3" fontId="26" fillId="9" borderId="1" xfId="3" applyNumberFormat="1" applyFont="1" applyFill="1" applyBorder="1" applyAlignment="1">
      <alignment horizontal="right" vertical="center" wrapText="1"/>
    </xf>
    <xf numFmtId="3" fontId="18" fillId="0" borderId="1" xfId="71" applyNumberFormat="1" applyFont="1" applyFill="1" applyBorder="1" applyAlignment="1">
      <alignment horizontal="right" vertical="center" wrapText="1"/>
    </xf>
    <xf numFmtId="3" fontId="26" fillId="9" borderId="1" xfId="71" applyNumberFormat="1" applyFont="1" applyFill="1" applyBorder="1" applyAlignment="1">
      <alignment horizontal="right" vertical="center" wrapText="1"/>
    </xf>
    <xf numFmtId="2" fontId="8" fillId="0" borderId="18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6" fillId="13" borderId="18" xfId="0" applyFont="1" applyFill="1" applyBorder="1" applyAlignment="1">
      <alignment horizontal="center" vertical="center" wrapText="1"/>
    </xf>
    <xf numFmtId="3" fontId="18" fillId="0" borderId="18" xfId="41" applyNumberFormat="1" applyFont="1" applyFill="1" applyBorder="1" applyAlignment="1">
      <alignment horizontal="left" vertical="center" wrapText="1"/>
    </xf>
    <xf numFmtId="3" fontId="18" fillId="0" borderId="18" xfId="4" applyNumberFormat="1" applyFont="1" applyBorder="1"/>
    <xf numFmtId="0" fontId="0" fillId="0" borderId="18" xfId="64" applyFont="1" applyFill="1" applyBorder="1" applyAlignment="1">
      <alignment wrapText="1"/>
    </xf>
    <xf numFmtId="0" fontId="16" fillId="19" borderId="18" xfId="64" applyFont="1" applyFill="1" applyBorder="1" applyAlignment="1">
      <alignment vertical="center" wrapText="1"/>
    </xf>
    <xf numFmtId="3" fontId="45" fillId="19" borderId="18" xfId="4" applyNumberFormat="1" applyFont="1" applyFill="1" applyBorder="1"/>
    <xf numFmtId="3" fontId="18" fillId="12" borderId="18" xfId="4" applyNumberFormat="1" applyFont="1" applyFill="1" applyBorder="1"/>
    <xf numFmtId="0" fontId="21" fillId="19" borderId="18" xfId="0" applyFont="1" applyFill="1" applyBorder="1"/>
    <xf numFmtId="3" fontId="45" fillId="12" borderId="18" xfId="4" applyNumberFormat="1" applyFont="1" applyFill="1" applyBorder="1"/>
    <xf numFmtId="3" fontId="45" fillId="0" borderId="18" xfId="4" applyNumberFormat="1" applyFont="1" applyBorder="1"/>
    <xf numFmtId="3" fontId="18" fillId="12" borderId="18" xfId="71" applyNumberFormat="1" applyFont="1" applyFill="1" applyBorder="1" applyAlignment="1">
      <alignment horizontal="right" vertical="center" wrapText="1"/>
    </xf>
    <xf numFmtId="169" fontId="18" fillId="12" borderId="18" xfId="71" applyNumberFormat="1" applyFont="1" applyFill="1" applyBorder="1" applyAlignment="1">
      <alignment horizontal="right" vertical="center" wrapText="1"/>
    </xf>
    <xf numFmtId="169" fontId="18" fillId="0" borderId="18" xfId="71" applyNumberFormat="1" applyFont="1" applyFill="1" applyBorder="1" applyAlignment="1">
      <alignment horizontal="righ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wrapText="1"/>
    </xf>
    <xf numFmtId="0" fontId="31" fillId="5" borderId="4" xfId="0" applyFont="1" applyFill="1" applyBorder="1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43" fillId="11" borderId="7" xfId="0" applyFont="1" applyFill="1" applyBorder="1" applyAlignment="1">
      <alignment horizontal="center" vertical="center" textRotation="90" wrapText="1"/>
    </xf>
    <xf numFmtId="0" fontId="43" fillId="11" borderId="8" xfId="0" applyFont="1" applyFill="1" applyBorder="1" applyAlignment="1">
      <alignment horizontal="center" vertical="center" textRotation="90" wrapText="1"/>
    </xf>
    <xf numFmtId="0" fontId="43" fillId="11" borderId="9" xfId="0" applyFont="1" applyFill="1" applyBorder="1" applyAlignment="1">
      <alignment horizontal="center" vertical="center" textRotation="90" wrapText="1"/>
    </xf>
    <xf numFmtId="0" fontId="43" fillId="10" borderId="7" xfId="0" applyFont="1" applyFill="1" applyBorder="1" applyAlignment="1">
      <alignment horizontal="center" vertical="center" textRotation="90"/>
    </xf>
    <xf numFmtId="0" fontId="43" fillId="10" borderId="8" xfId="0" applyFont="1" applyFill="1" applyBorder="1" applyAlignment="1">
      <alignment horizontal="center" vertical="center" textRotation="90"/>
    </xf>
    <xf numFmtId="0" fontId="43" fillId="10" borderId="9" xfId="0" applyFont="1" applyFill="1" applyBorder="1" applyAlignment="1">
      <alignment horizontal="center" vertical="center" textRotation="90"/>
    </xf>
    <xf numFmtId="0" fontId="20" fillId="0" borderId="0" xfId="0" applyNumberFormat="1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6" fillId="13" borderId="18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/>
    </xf>
    <xf numFmtId="0" fontId="22" fillId="0" borderId="0" xfId="0" applyFont="1" applyAlignment="1">
      <alignment horizontal="left"/>
    </xf>
  </cellXfs>
  <cellStyles count="326">
    <cellStyle name="Hipervínculo" xfId="1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 visitado" xfId="2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Millares" xfId="3" builtinId="3"/>
    <cellStyle name="Millares 4" xfId="71"/>
    <cellStyle name="Normal" xfId="0" builtinId="0"/>
    <cellStyle name="Normal 2" xfId="26"/>
    <cellStyle name="Normal 2 2 2" xfId="41"/>
    <cellStyle name="Normal 5" xfId="64"/>
    <cellStyle name="Porcentual" xfId="5" builtinId="5"/>
    <cellStyle name="TableStyleLight1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2" workbookViewId="0">
      <selection activeCell="B35" sqref="B35"/>
    </sheetView>
  </sheetViews>
  <sheetFormatPr baseColWidth="10" defaultRowHeight="15" x14ac:dyDescent="0"/>
  <cols>
    <col min="2" max="2" width="57.83203125" customWidth="1"/>
    <col min="3" max="3" width="12" customWidth="1"/>
  </cols>
  <sheetData>
    <row r="2" spans="2:11" ht="18">
      <c r="B2" s="28" t="s">
        <v>90</v>
      </c>
      <c r="D2" s="2"/>
    </row>
    <row r="3" spans="2:11">
      <c r="D3" s="2"/>
    </row>
    <row r="4" spans="2:11" ht="18">
      <c r="B4" s="25" t="s">
        <v>291</v>
      </c>
      <c r="D4" s="2"/>
    </row>
    <row r="6" spans="2:11" ht="18">
      <c r="B6" s="106" t="s">
        <v>82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07" t="str">
        <f>Parametros!B7</f>
        <v xml:space="preserve">Grissini </v>
      </c>
      <c r="C7" s="24">
        <v>0.01</v>
      </c>
      <c r="D7" s="24">
        <v>1.1000000000000001E-2</v>
      </c>
      <c r="E7" s="24">
        <v>5.0000000000000001E-3</v>
      </c>
      <c r="F7" s="24">
        <v>0.01</v>
      </c>
      <c r="G7" s="24">
        <v>0.01</v>
      </c>
      <c r="H7" s="24">
        <v>1.2E-2</v>
      </c>
      <c r="I7" s="24">
        <v>0.01</v>
      </c>
      <c r="J7" s="24">
        <v>1.2E-2</v>
      </c>
      <c r="K7" s="24">
        <v>0.01</v>
      </c>
    </row>
    <row r="8" spans="2:11">
      <c r="B8" s="107" t="str">
        <f>Parametros!B8</f>
        <v>Kamish</v>
      </c>
      <c r="C8" s="24">
        <v>1.4999999999999999E-2</v>
      </c>
      <c r="D8" s="24">
        <v>1.2E-2</v>
      </c>
      <c r="E8" s="24">
        <v>0.01</v>
      </c>
      <c r="F8" s="24">
        <v>0.01</v>
      </c>
      <c r="G8" s="24">
        <v>1.1000000000000001E-2</v>
      </c>
      <c r="H8" s="24">
        <v>1.4999999999999999E-2</v>
      </c>
      <c r="I8" s="24">
        <v>1.0999999999999999E-2</v>
      </c>
      <c r="J8" s="24">
        <v>0.01</v>
      </c>
      <c r="K8" s="24">
        <v>0.01</v>
      </c>
    </row>
    <row r="9" spans="2:11">
      <c r="B9" s="107" t="str">
        <f>Parametros!B9</f>
        <v>Roscas con pisco</v>
      </c>
      <c r="C9" s="24">
        <v>0.01</v>
      </c>
      <c r="D9" s="24">
        <v>1.1000000000000001E-2</v>
      </c>
      <c r="E9" s="24">
        <v>1.2999999999999999E-2</v>
      </c>
      <c r="F9" s="24">
        <v>1.3500000000000002E-2</v>
      </c>
      <c r="G9" s="24">
        <v>1.2E-2</v>
      </c>
      <c r="H9" s="24">
        <v>0.01</v>
      </c>
      <c r="I9" s="24">
        <v>0.01</v>
      </c>
      <c r="J9" s="24">
        <v>1.2E-2</v>
      </c>
      <c r="K9" s="24">
        <v>1.0999999999999999E-2</v>
      </c>
    </row>
    <row r="11" spans="2:11" ht="18">
      <c r="B11" s="25" t="s">
        <v>485</v>
      </c>
    </row>
    <row r="13" spans="2:11" ht="18">
      <c r="B13" s="106" t="s">
        <v>4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2:11">
      <c r="B14" s="23" t="s">
        <v>83</v>
      </c>
      <c r="C14" s="24">
        <v>0.01</v>
      </c>
      <c r="D14" s="24">
        <v>1.1000000000000001E-2</v>
      </c>
      <c r="E14" s="24">
        <v>1.4999999999999999E-2</v>
      </c>
      <c r="F14" s="24">
        <v>0.01</v>
      </c>
      <c r="G14" s="24">
        <v>1.1000000000000001E-2</v>
      </c>
      <c r="H14" s="24">
        <v>1.4999999999999999E-2</v>
      </c>
      <c r="I14" s="24">
        <v>0.01</v>
      </c>
      <c r="J14" s="24">
        <v>0.01</v>
      </c>
      <c r="K14" s="24">
        <v>0.01</v>
      </c>
    </row>
    <row r="17" spans="2:11" ht="18">
      <c r="B17" s="25" t="s">
        <v>91</v>
      </c>
    </row>
    <row r="18" spans="2:11" ht="18">
      <c r="B18" s="106" t="s">
        <v>4</v>
      </c>
      <c r="C18" s="106">
        <v>2013</v>
      </c>
      <c r="D18" s="106">
        <v>2014</v>
      </c>
      <c r="E18" s="106">
        <v>2015</v>
      </c>
      <c r="F18" s="106">
        <v>2016</v>
      </c>
      <c r="G18" s="106">
        <v>2017</v>
      </c>
      <c r="H18" s="106">
        <v>2018</v>
      </c>
      <c r="I18" s="106">
        <v>2019</v>
      </c>
      <c r="J18" s="106">
        <v>2020</v>
      </c>
      <c r="K18" s="106">
        <v>2021</v>
      </c>
    </row>
    <row r="19" spans="2:11">
      <c r="B19" s="26" t="s">
        <v>91</v>
      </c>
      <c r="C19" s="24">
        <v>0.01</v>
      </c>
      <c r="D19" s="24">
        <v>0.01</v>
      </c>
      <c r="E19" s="24">
        <v>0.01</v>
      </c>
      <c r="F19" s="24">
        <v>0.02</v>
      </c>
      <c r="G19" s="24">
        <v>1.4999999999999999E-2</v>
      </c>
      <c r="H19" s="24">
        <v>0.01</v>
      </c>
      <c r="I19" s="24">
        <v>0.03</v>
      </c>
      <c r="J19" s="24">
        <v>0.01</v>
      </c>
      <c r="K19" s="24">
        <v>5.0000000000000001E-3</v>
      </c>
    </row>
    <row r="21" spans="2:11" ht="18">
      <c r="B21" s="25" t="s">
        <v>486</v>
      </c>
    </row>
    <row r="23" spans="2:11" ht="18">
      <c r="B23" s="106" t="s">
        <v>4</v>
      </c>
      <c r="C23" s="106">
        <v>2013</v>
      </c>
      <c r="D23" s="106">
        <v>2014</v>
      </c>
      <c r="E23" s="106">
        <v>2015</v>
      </c>
      <c r="F23" s="106">
        <v>2016</v>
      </c>
      <c r="G23" s="106">
        <v>2017</v>
      </c>
      <c r="H23" s="106">
        <v>2018</v>
      </c>
      <c r="I23" s="106">
        <v>2019</v>
      </c>
      <c r="J23" s="106">
        <v>2020</v>
      </c>
      <c r="K23" s="106">
        <v>2021</v>
      </c>
    </row>
    <row r="24" spans="2:11">
      <c r="B24" s="23" t="s">
        <v>83</v>
      </c>
      <c r="C24" s="24">
        <v>0.01</v>
      </c>
      <c r="D24" s="24">
        <v>1.1000000000000001E-2</v>
      </c>
      <c r="E24" s="24">
        <v>5.0000000000000001E-3</v>
      </c>
      <c r="F24" s="24">
        <v>0.01</v>
      </c>
      <c r="G24" s="24">
        <v>1.1000000000000001E-2</v>
      </c>
      <c r="H24" s="24">
        <v>1.4999999999999999E-2</v>
      </c>
      <c r="I24" s="24">
        <v>0.01</v>
      </c>
      <c r="J24" s="24">
        <v>0.01</v>
      </c>
      <c r="K24" s="24">
        <v>0.01</v>
      </c>
    </row>
    <row r="26" spans="2:11" ht="18">
      <c r="B26" s="25" t="s">
        <v>487</v>
      </c>
    </row>
    <row r="28" spans="2:11" ht="18">
      <c r="B28" s="106" t="s">
        <v>4</v>
      </c>
      <c r="C28" s="106">
        <v>2013</v>
      </c>
      <c r="D28" s="106">
        <v>2014</v>
      </c>
      <c r="E28" s="106">
        <v>2015</v>
      </c>
      <c r="F28" s="106">
        <v>2016</v>
      </c>
      <c r="G28" s="106">
        <v>2017</v>
      </c>
      <c r="H28" s="106">
        <v>2018</v>
      </c>
      <c r="I28" s="106">
        <v>2019</v>
      </c>
      <c r="J28" s="106">
        <v>2020</v>
      </c>
      <c r="K28" s="106">
        <v>2021</v>
      </c>
    </row>
    <row r="29" spans="2:11">
      <c r="B29" s="23" t="s">
        <v>489</v>
      </c>
      <c r="C29" s="24">
        <v>0.01</v>
      </c>
      <c r="D29" s="24">
        <v>1.4999999999999999E-2</v>
      </c>
      <c r="E29" s="24">
        <v>1.2E-2</v>
      </c>
      <c r="F29" s="24">
        <v>1.2999999999999999E-2</v>
      </c>
      <c r="G29" s="24">
        <v>1.0999999999999999E-2</v>
      </c>
      <c r="H29" s="24">
        <v>1.2999999999999999E-2</v>
      </c>
      <c r="I29" s="24">
        <v>1.2E-2</v>
      </c>
      <c r="J29" s="24">
        <v>0.01</v>
      </c>
      <c r="K29" s="24">
        <v>1.4E-2</v>
      </c>
    </row>
    <row r="31" spans="2:11" ht="18">
      <c r="B31" s="25" t="s">
        <v>488</v>
      </c>
    </row>
    <row r="33" spans="2:11" ht="18">
      <c r="B33" s="106" t="s">
        <v>4</v>
      </c>
      <c r="C33" s="106">
        <v>2013</v>
      </c>
      <c r="D33" s="106">
        <v>2014</v>
      </c>
      <c r="E33" s="106">
        <v>2015</v>
      </c>
      <c r="F33" s="106">
        <v>2016</v>
      </c>
      <c r="G33" s="106">
        <v>2017</v>
      </c>
      <c r="H33" s="106">
        <v>2018</v>
      </c>
      <c r="I33" s="106">
        <v>2019</v>
      </c>
      <c r="J33" s="106">
        <v>2020</v>
      </c>
      <c r="K33" s="106">
        <v>2021</v>
      </c>
    </row>
    <row r="34" spans="2:11">
      <c r="B34" s="23" t="s">
        <v>400</v>
      </c>
      <c r="C34" s="206">
        <v>0.01</v>
      </c>
      <c r="D34" s="206">
        <v>1.2E-2</v>
      </c>
      <c r="E34" s="206">
        <v>1.2999999999999999E-2</v>
      </c>
      <c r="F34" s="206">
        <v>1.4999999999999999E-2</v>
      </c>
      <c r="G34" s="206">
        <v>1.6E-2</v>
      </c>
      <c r="H34" s="206">
        <v>1.7999999999999999E-2</v>
      </c>
      <c r="I34" s="206">
        <v>1.9E-2</v>
      </c>
      <c r="J34" s="206">
        <v>0.02</v>
      </c>
      <c r="K34" s="206">
        <v>2.1999999999999999E-2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workbookViewId="0">
      <selection activeCell="C32" sqref="C32"/>
    </sheetView>
  </sheetViews>
  <sheetFormatPr baseColWidth="10" defaultRowHeight="15" x14ac:dyDescent="0"/>
  <cols>
    <col min="2" max="2" width="19.6640625" customWidth="1"/>
    <col min="3" max="3" width="12.83203125" customWidth="1"/>
    <col min="4" max="4" width="13.83203125" customWidth="1"/>
    <col min="5" max="5" width="14.6640625" customWidth="1"/>
    <col min="6" max="6" width="13.6640625" customWidth="1"/>
    <col min="7" max="7" width="12.83203125" customWidth="1"/>
    <col min="8" max="8" width="14.33203125" customWidth="1"/>
    <col min="9" max="9" width="13.1640625" customWidth="1"/>
    <col min="10" max="10" width="13.5" customWidth="1"/>
    <col min="11" max="11" width="13.6640625" customWidth="1"/>
  </cols>
  <sheetData>
    <row r="2" spans="2:11" ht="18">
      <c r="B2" s="28" t="s">
        <v>508</v>
      </c>
      <c r="C2" s="20"/>
      <c r="D2" s="20"/>
      <c r="E2" s="20"/>
      <c r="F2" s="20"/>
      <c r="G2" s="20"/>
      <c r="H2" s="20"/>
      <c r="I2" s="20"/>
      <c r="J2" s="20"/>
      <c r="K2" s="20"/>
    </row>
    <row r="3" spans="2:11"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2:11" ht="18">
      <c r="B4" s="25" t="s">
        <v>509</v>
      </c>
      <c r="C4" s="133"/>
      <c r="D4" s="133"/>
      <c r="E4" s="133"/>
      <c r="F4" s="133"/>
      <c r="G4" s="133"/>
      <c r="H4" s="133"/>
      <c r="I4" s="133"/>
      <c r="J4" s="133"/>
      <c r="K4" s="133"/>
    </row>
    <row r="5" spans="2:11">
      <c r="B5" s="134"/>
      <c r="C5" s="133"/>
      <c r="D5" s="133"/>
      <c r="E5" s="133"/>
      <c r="F5" s="133"/>
      <c r="G5" s="133"/>
      <c r="H5" s="133"/>
      <c r="I5" s="133"/>
      <c r="J5" s="133"/>
      <c r="K5" s="133"/>
    </row>
    <row r="6" spans="2:11" ht="18">
      <c r="B6" s="106" t="s">
        <v>282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51" t="s">
        <v>32</v>
      </c>
      <c r="C7" s="18">
        <f>'Plan de Compras'!C96*Parametros!$D21*(Variables!C$24+1)</f>
        <v>18964815.564560182</v>
      </c>
      <c r="D7" s="18">
        <f>(C7/'Plan de Compras'!C96)*'Plan de Compras'!D96*(1+Variables!D$24)</f>
        <v>19373002.344692875</v>
      </c>
      <c r="E7" s="18">
        <f>(D7/'Plan de Compras'!D96)*'Plan de Compras'!E96*(1+Variables!E$24)</f>
        <v>19635373.93847362</v>
      </c>
      <c r="F7" s="18">
        <f>(E7/'Plan de Compras'!E96)*'Plan de Compras'!F96*(1+Variables!F$24)</f>
        <v>20056656.935308337</v>
      </c>
      <c r="G7" s="18">
        <f>(F7/'Plan de Compras'!F96)*'Plan de Compras'!G96*(1+Variables!G$24)</f>
        <v>20497581.070798025</v>
      </c>
      <c r="H7" s="18">
        <f>(G7/'Plan de Compras'!G96)*'Plan de Compras'!H96*(1+Variables!H$24)</f>
        <v>21069359.967573106</v>
      </c>
      <c r="I7" s="18">
        <f>(H7/'Plan de Compras'!H96)*'Plan de Compras'!I96*(1+Variables!I$24)</f>
        <v>21492446.634520173</v>
      </c>
      <c r="J7" s="18">
        <f>(I7/'Plan de Compras'!I96)*'Plan de Compras'!J96*(1+Variables!J$24)</f>
        <v>21957179.19797904</v>
      </c>
      <c r="K7" s="18">
        <f>(J7/'Plan de Compras'!J96)*'Plan de Compras'!K96*(1+Variables!K$24)</f>
        <v>22400676.596623845</v>
      </c>
    </row>
    <row r="8" spans="2:11">
      <c r="B8" s="51" t="s">
        <v>33</v>
      </c>
      <c r="C8" s="18">
        <f>'Plan de Compras'!C97*Parametros!D22*(Variables!C$24+1)</f>
        <v>21256664.41876021</v>
      </c>
      <c r="D8" s="18">
        <f>(C8/'Plan de Compras'!C97)*'Plan de Compras'!D97*(1+Variables!D$24)</f>
        <v>21709078.599516481</v>
      </c>
      <c r="E8" s="18">
        <f>(D8/'Plan de Compras'!D97)*'Plan de Compras'!E97*(1+Variables!E$24)</f>
        <v>21993170.217443798</v>
      </c>
      <c r="F8" s="18">
        <f>(E8/'Plan de Compras'!E97)*'Plan de Compras'!F97*(1+Variables!F$24)</f>
        <v>22463480.687767621</v>
      </c>
      <c r="G8" s="18">
        <f>(F8/'Plan de Compras'!F97)*'Plan de Compras'!G97*(1+Variables!G$24)</f>
        <v>22955246.167038668</v>
      </c>
      <c r="H8" s="18">
        <f>(G8/'Plan de Compras'!G97)*'Plan de Compras'!H97*(1+Variables!H$24)</f>
        <v>23595871.446247857</v>
      </c>
      <c r="I8" s="18">
        <f>(H8/'Plan de Compras'!H97)*'Plan de Compras'!I97*(1+Variables!I$24)</f>
        <v>24068988.887186579</v>
      </c>
      <c r="J8" s="18">
        <f>(I8/'Plan de Compras'!I97)*'Plan de Compras'!J97*(1+Variables!J$24)</f>
        <v>24590940.451558404</v>
      </c>
      <c r="K8" s="18">
        <f>(J8/'Plan de Compras'!J97)*'Plan de Compras'!K97*(1+Variables!K$24)</f>
        <v>25086389.62785415</v>
      </c>
    </row>
    <row r="9" spans="2:11">
      <c r="B9" s="51" t="s">
        <v>34</v>
      </c>
      <c r="C9" s="18">
        <f>'Plan de Compras'!C98*Parametros!D23*(Variables!C$24+1)</f>
        <v>551707.45962690632</v>
      </c>
      <c r="D9" s="18">
        <f>(C9/'Plan de Compras'!C98)*'Plan de Compras'!D98*(1+Variables!D$24)</f>
        <v>563740.98351244989</v>
      </c>
      <c r="E9" s="18">
        <f>(D9/'Plan de Compras'!D98)*'Plan de Compras'!E98*(1+Variables!E$24)</f>
        <v>572234.28522432188</v>
      </c>
      <c r="F9" s="18">
        <f>(E9/'Plan de Compras'!E98)*'Plan de Compras'!F98*(1+Variables!F$24)</f>
        <v>584768.86876021523</v>
      </c>
      <c r="G9" s="18">
        <f>(F9/'Plan de Compras'!F98)*'Plan de Compras'!G98*(1+Variables!G$24)</f>
        <v>597813.9090383373</v>
      </c>
      <c r="H9" s="18">
        <f>(G9/'Plan de Compras'!G98)*'Plan de Compras'!H98*(1+Variables!H$24)</f>
        <v>614077.28100490198</v>
      </c>
      <c r="I9" s="18">
        <f>(H9/'Plan de Compras'!H98)*'Plan de Compras'!I98*(1+Variables!I$24)</f>
        <v>626494.1470782801</v>
      </c>
      <c r="J9" s="18">
        <f>(I9/'Plan de Compras'!I98)*'Plan de Compras'!J98*(1+Variables!J$24)</f>
        <v>640054.67783111311</v>
      </c>
      <c r="K9" s="18">
        <f>(J9/'Plan de Compras'!J98)*'Plan de Compras'!K98*(1+Variables!K$24)</f>
        <v>653157.97694604646</v>
      </c>
    </row>
    <row r="10" spans="2:11">
      <c r="B10" s="51" t="s">
        <v>35</v>
      </c>
      <c r="C10" s="18">
        <f>'Plan de Compras'!C99*Parametros!D24*(Variables!C$24+1)</f>
        <v>7891800.6790577341</v>
      </c>
      <c r="D10" s="18">
        <f>(C10/'Plan de Compras'!C99)*'Plan de Compras'!D99*(1+Variables!D$24)</f>
        <v>8057861.0070872549</v>
      </c>
      <c r="E10" s="18">
        <f>(D10/'Plan de Compras'!D99)*'Plan de Compras'!E99*(1+Variables!E$24)</f>
        <v>8165438.1776614599</v>
      </c>
      <c r="F10" s="18">
        <f>(E10/'Plan de Compras'!E99)*'Plan de Compras'!F99*(1+Variables!F$24)</f>
        <v>8340345.0693459874</v>
      </c>
      <c r="G10" s="18">
        <f>(F10/'Plan de Compras'!F99)*'Plan de Compras'!G99*(1+Variables!G$24)</f>
        <v>8523375.3867246136</v>
      </c>
      <c r="H10" s="18">
        <f>(G10/'Plan de Compras'!G99)*'Plan de Compras'!H99*(1+Variables!H$24)</f>
        <v>8761262.4974833764</v>
      </c>
      <c r="I10" s="18">
        <f>(H10/'Plan de Compras'!H99)*'Plan de Compras'!I99*(1+Variables!I$24)</f>
        <v>8937092.6241378728</v>
      </c>
      <c r="J10" s="18">
        <f>(I10/'Plan de Compras'!I99)*'Plan de Compras'!J99*(1+Variables!J$24)</f>
        <v>9130532.8461732306</v>
      </c>
      <c r="K10" s="18">
        <f>(J10/'Plan de Compras'!J99)*'Plan de Compras'!K99*(1+Variables!K$24)</f>
        <v>9314751.9166753553</v>
      </c>
    </row>
    <row r="11" spans="2:11">
      <c r="B11" s="51" t="s">
        <v>36</v>
      </c>
      <c r="C11" s="18">
        <f>'Plan de Compras'!C100*Parametros!D25*(Variables!C$24+1)</f>
        <v>4382205.6481821891</v>
      </c>
      <c r="D11" s="18">
        <f>(C11/'Plan de Compras'!C100)*'Plan de Compras'!D100*(1+Variables!D$24)</f>
        <v>4476969.2635883577</v>
      </c>
      <c r="E11" s="18">
        <f>(D11/'Plan de Compras'!D100)*'Plan de Compras'!E100*(1+Variables!E$24)</f>
        <v>4528973.122809262</v>
      </c>
      <c r="F11" s="18">
        <f>(E11/'Plan de Compras'!E100)*'Plan de Compras'!F100*(1+Variables!F$24)</f>
        <v>4622353.551876598</v>
      </c>
      <c r="G11" s="18">
        <f>(F11/'Plan de Compras'!F100)*'Plan de Compras'!G100*(1+Variables!G$24)</f>
        <v>4722207.798338132</v>
      </c>
      <c r="H11" s="18">
        <f>(G11/'Plan de Compras'!G100)*'Plan de Compras'!H100*(1+Variables!H$24)</f>
        <v>4859083.3138114475</v>
      </c>
      <c r="I11" s="18">
        <f>(H11/'Plan de Compras'!H100)*'Plan de Compras'!I100*(1+Variables!I$24)</f>
        <v>4956531.8099991921</v>
      </c>
      <c r="J11" s="18">
        <f>(I11/'Plan de Compras'!I100)*'Plan de Compras'!J100*(1+Variables!J$24)</f>
        <v>5062483.3729877174</v>
      </c>
      <c r="K11" s="18">
        <f>(J11/'Plan de Compras'!J100)*'Plan de Compras'!K100*(1+Variables!K$24)</f>
        <v>5163229.2396823568</v>
      </c>
    </row>
    <row r="12" spans="2:11">
      <c r="B12" s="51" t="s">
        <v>110</v>
      </c>
      <c r="C12" s="18">
        <f>'Plan de Compras'!C101*Parametros!D26*(Variables!C$24+1)</f>
        <v>22982112.800925922</v>
      </c>
      <c r="D12" s="18">
        <f>(C12/'Plan de Compras'!C101)*'Plan de Compras'!D101*(1+Variables!D$24)</f>
        <v>23470312.42603416</v>
      </c>
      <c r="E12" s="18">
        <f>(D12/'Plan de Compras'!D101)*'Plan de Compras'!E101*(1+Variables!E$24)</f>
        <v>23855515.409868989</v>
      </c>
      <c r="F12" s="18">
        <f>(E12/'Plan de Compras'!E101)*'Plan de Compras'!F101*(1+Variables!F$24)</f>
        <v>24373416.380900156</v>
      </c>
      <c r="G12" s="18">
        <f>(F12/'Plan de Compras'!F101)*'Plan de Compras'!G101*(1+Variables!G$24)</f>
        <v>24923365.634343665</v>
      </c>
      <c r="H12" s="18">
        <f>(G12/'Plan de Compras'!G101)*'Plan de Compras'!H101*(1+Variables!H$24)</f>
        <v>25625725.291344475</v>
      </c>
      <c r="I12" s="18">
        <f>(H12/'Plan de Compras'!H101)*'Plan de Compras'!I101*(1+Variables!I$24)</f>
        <v>26145985.341743954</v>
      </c>
      <c r="J12" s="18">
        <f>(I12/'Plan de Compras'!I101)*'Plan de Compras'!J101*(1+Variables!J$24)</f>
        <v>26696409.336141154</v>
      </c>
      <c r="K12" s="18">
        <f>(J12/'Plan de Compras'!J101)*'Plan de Compras'!K101*(1+Variables!K$24)</f>
        <v>27243302.178310037</v>
      </c>
    </row>
    <row r="13" spans="2:11">
      <c r="B13" s="51" t="s">
        <v>111</v>
      </c>
      <c r="C13" s="18">
        <f>'Plan de Compras'!C102*Parametros!D27*(Variables!C$24+1)</f>
        <v>4499118.2418470858</v>
      </c>
      <c r="D13" s="18">
        <f>(C13/'Plan de Compras'!C102)*'Plan de Compras'!D102*(1+Variables!D$24)</f>
        <v>4592786.9822969995</v>
      </c>
      <c r="E13" s="18">
        <f>(D13/'Plan de Compras'!D102)*'Plan de Compras'!E102*(1+Variables!E$24)</f>
        <v>4656187.4077124046</v>
      </c>
      <c r="F13" s="18">
        <f>(E13/'Plan de Compras'!E102)*'Plan de Compras'!F102*(1+Variables!F$24)</f>
        <v>4754874.6638772711</v>
      </c>
      <c r="G13" s="18">
        <f>(F13/'Plan de Compras'!F102)*'Plan de Compras'!G102*(1+Variables!G$24)</f>
        <v>4859677.6067794198</v>
      </c>
      <c r="H13" s="18">
        <f>(G13/'Plan de Compras'!G102)*'Plan de Compras'!H102*(1+Variables!H$24)</f>
        <v>4998023.7078059502</v>
      </c>
      <c r="I13" s="18">
        <f>(H13/'Plan de Compras'!H102)*'Plan de Compras'!I102*(1+Variables!I$24)</f>
        <v>5098752.7070301706</v>
      </c>
      <c r="J13" s="18">
        <f>(I13/'Plan de Compras'!I102)*'Plan de Compras'!J102*(1+Variables!J$24)</f>
        <v>5207361.5612874823</v>
      </c>
      <c r="K13" s="18">
        <f>(J13/'Plan de Compras'!J102)*'Plan de Compras'!K102*(1+Variables!K$24)</f>
        <v>5312447.8766906969</v>
      </c>
    </row>
    <row r="14" spans="2:11">
      <c r="B14" s="51" t="s">
        <v>43</v>
      </c>
      <c r="C14" s="18">
        <f>'Plan de Compras'!C103*Parametros!D28*(Variables!C$24+1)</f>
        <v>4289756.9505718956</v>
      </c>
      <c r="D14" s="18">
        <f>(C14/'Plan de Compras'!C103)*'Plan de Compras'!D103*(1+Variables!D$24)</f>
        <v>4371743.2997617703</v>
      </c>
      <c r="E14" s="18">
        <f>(D14/'Plan de Compras'!D103)*'Plan de Compras'!E103*(1+Variables!E$24)</f>
        <v>4412086.0061045792</v>
      </c>
      <c r="F14" s="18">
        <f>(E14/'Plan de Compras'!E103)*'Plan de Compras'!F103*(1+Variables!F$24)</f>
        <v>4504071.5184517754</v>
      </c>
      <c r="G14" s="18">
        <f>(F14/'Plan de Compras'!F103)*'Plan de Compras'!G103*(1+Variables!G$24)</f>
        <v>4599048.7682776572</v>
      </c>
      <c r="H14" s="18">
        <f>(G14/'Plan de Compras'!G103)*'Plan de Compras'!H103*(1+Variables!H$24)</f>
        <v>4725376.1469959263</v>
      </c>
      <c r="I14" s="18">
        <f>(H14/'Plan de Compras'!H103)*'Plan de Compras'!I103*(1+Variables!I$24)</f>
        <v>4818961.1740000267</v>
      </c>
      <c r="J14" s="18">
        <f>(I14/'Plan de Compras'!I103)*'Plan de Compras'!J103*(1+Variables!J$24)</f>
        <v>4926982.4868615605</v>
      </c>
      <c r="K14" s="18">
        <f>(J14/'Plan de Compras'!J103)*'Plan de Compras'!K103*(1+Variables!K$24)</f>
        <v>5024560.2827318022</v>
      </c>
    </row>
    <row r="15" spans="2:11">
      <c r="B15" s="51" t="s">
        <v>37</v>
      </c>
      <c r="C15" s="18">
        <f>'Plan de Compras'!C104*Parametros!D29*(Variables!C$24+1)</f>
        <v>2561074.7685185182</v>
      </c>
      <c r="D15" s="18">
        <f>(C15/'Plan de Compras'!C104)*'Plan de Compras'!D104*(1+Variables!D$24)</f>
        <v>2610710.8195451391</v>
      </c>
      <c r="E15" s="18">
        <f>(D15/'Plan de Compras'!D104)*'Plan de Compras'!E104*(1+Variables!E$24)</f>
        <v>2658509.184061388</v>
      </c>
      <c r="F15" s="18">
        <f>(E15/'Plan de Compras'!E104)*'Plan de Compras'!F104*(1+Variables!F$24)</f>
        <v>2721508.7502214862</v>
      </c>
      <c r="G15" s="18">
        <f>(F15/'Plan de Compras'!F104)*'Plan de Compras'!G104*(1+Variables!G$24)</f>
        <v>2783872.9028422157</v>
      </c>
      <c r="H15" s="18">
        <f>(G15/'Plan de Compras'!G104)*'Plan de Compras'!H104*(1+Variables!H$24)</f>
        <v>2853105.9321684749</v>
      </c>
      <c r="I15" s="18">
        <f>(H15/'Plan de Compras'!H104)*'Plan de Compras'!I104*(1+Variables!I$24)</f>
        <v>2910479.430173689</v>
      </c>
      <c r="J15" s="18">
        <f>(I15/'Plan de Compras'!I104)*'Plan de Compras'!J104*(1+Variables!J$24)</f>
        <v>2975693.769403677</v>
      </c>
      <c r="K15" s="18">
        <f>(J15/'Plan de Compras'!J104)*'Plan de Compras'!K104*(1+Variables!K$24)</f>
        <v>3038057.8297069324</v>
      </c>
    </row>
    <row r="17" spans="2:11">
      <c r="B17" s="149" t="s">
        <v>283</v>
      </c>
      <c r="C17" s="138">
        <f t="shared" ref="C17:K17" si="0">SUM(C7:C15)</f>
        <v>87379256.532050639</v>
      </c>
      <c r="D17" s="138">
        <f t="shared" si="0"/>
        <v>89226205.726035491</v>
      </c>
      <c r="E17" s="138">
        <f t="shared" si="0"/>
        <v>90477487.749359816</v>
      </c>
      <c r="F17" s="138">
        <f t="shared" si="0"/>
        <v>92421476.42650947</v>
      </c>
      <c r="G17" s="138">
        <f t="shared" si="0"/>
        <v>94462189.244180724</v>
      </c>
      <c r="H17" s="138">
        <f t="shared" si="0"/>
        <v>97101885.584435523</v>
      </c>
      <c r="I17" s="138">
        <f t="shared" si="0"/>
        <v>99055732.755869955</v>
      </c>
      <c r="J17" s="138">
        <f t="shared" si="0"/>
        <v>101187637.70022337</v>
      </c>
      <c r="K17" s="138">
        <f t="shared" si="0"/>
        <v>103236573.52522121</v>
      </c>
    </row>
    <row r="19" spans="2:11" ht="18">
      <c r="B19" s="25" t="s">
        <v>510</v>
      </c>
      <c r="C19" s="135"/>
      <c r="D19" s="135"/>
      <c r="E19" s="135"/>
      <c r="F19" s="135"/>
      <c r="G19" s="135"/>
      <c r="H19" s="135"/>
      <c r="I19" s="135"/>
      <c r="J19" s="135"/>
      <c r="K19" s="135"/>
    </row>
    <row r="20" spans="2:11">
      <c r="B20" s="136"/>
      <c r="C20" s="135"/>
      <c r="D20" s="135"/>
      <c r="E20" s="135"/>
      <c r="F20" s="135"/>
      <c r="G20" s="135"/>
      <c r="H20" s="135"/>
      <c r="I20" s="135"/>
      <c r="J20" s="135"/>
      <c r="K20" s="135"/>
    </row>
    <row r="21" spans="2:11" ht="18">
      <c r="B21" s="106" t="s">
        <v>282</v>
      </c>
      <c r="C21" s="106">
        <v>2013</v>
      </c>
      <c r="D21" s="106">
        <v>2014</v>
      </c>
      <c r="E21" s="106">
        <v>2015</v>
      </c>
      <c r="F21" s="106">
        <v>2016</v>
      </c>
      <c r="G21" s="106">
        <v>2017</v>
      </c>
      <c r="H21" s="106">
        <v>2018</v>
      </c>
      <c r="I21" s="106">
        <v>2019</v>
      </c>
      <c r="J21" s="106">
        <v>2020</v>
      </c>
      <c r="K21" s="106">
        <v>2021</v>
      </c>
    </row>
    <row r="22" spans="2:11">
      <c r="B22" s="51" t="s">
        <v>32</v>
      </c>
      <c r="C22" s="18">
        <f>'Insumos Valorizados'!D8</f>
        <v>1577831.9665046297</v>
      </c>
      <c r="D22" s="18">
        <f>'Insumos Valorizados'!E8</f>
        <v>1611602.6393228844</v>
      </c>
      <c r="E22" s="18">
        <f>'Insumos Valorizados'!F8</f>
        <v>1634382.8136766553</v>
      </c>
      <c r="F22" s="18">
        <f>'Insumos Valorizados'!G8</f>
        <v>1668541.5191526935</v>
      </c>
      <c r="G22" s="18">
        <f>'Insumos Valorizados'!H8</f>
        <v>1705086.3530731313</v>
      </c>
      <c r="H22" s="18">
        <f>'Insumos Valorizados'!I8</f>
        <v>1751880.486203555</v>
      </c>
      <c r="I22" s="18">
        <f>'Insumos Valorizados'!J8</f>
        <v>1788025.163132593</v>
      </c>
      <c r="J22" s="18">
        <f>'Insumos Valorizados'!K8</f>
        <v>1826554.181623973</v>
      </c>
      <c r="K22" s="18">
        <f>'Insumos Valorizados'!L8</f>
        <v>1863633.1367882937</v>
      </c>
    </row>
    <row r="23" spans="2:11">
      <c r="B23" s="51" t="s">
        <v>33</v>
      </c>
      <c r="C23" s="18">
        <f>'Insumos Valorizados'!D18</f>
        <v>1768204.9552892484</v>
      </c>
      <c r="D23" s="18">
        <f>'Insumos Valorizados'!E18</f>
        <v>1805944.8888312131</v>
      </c>
      <c r="E23" s="18">
        <f>'Insumos Valorizados'!F18</f>
        <v>1830701.1620211564</v>
      </c>
      <c r="F23" s="18">
        <f>'Insumos Valorizados'!G18</f>
        <v>1868783.2192145213</v>
      </c>
      <c r="G23" s="18">
        <f>'Insumos Valorizados'!H18</f>
        <v>1909540.722019475</v>
      </c>
      <c r="H23" s="18">
        <f>'Insumos Valorizados'!I18</f>
        <v>1961954.7821744122</v>
      </c>
      <c r="I23" s="18">
        <f>'Insumos Valorizados'!J18</f>
        <v>2002380.2822585367</v>
      </c>
      <c r="J23" s="18">
        <f>'Insumos Valorizados'!K18</f>
        <v>2045640.0564474538</v>
      </c>
      <c r="K23" s="18">
        <f>'Insumos Valorizados'!L18</f>
        <v>2087079.206484735</v>
      </c>
    </row>
    <row r="24" spans="2:11">
      <c r="B24" s="51" t="s">
        <v>34</v>
      </c>
      <c r="C24" s="18">
        <f>'Insumos Valorizados'!D28</f>
        <v>15316.417827754281</v>
      </c>
      <c r="D24" s="18">
        <f>'Insumos Valorizados'!E28</f>
        <v>15650.200036221766</v>
      </c>
      <c r="E24" s="18">
        <f>'Insumos Valorizados'!F28</f>
        <v>15888.76987190661</v>
      </c>
      <c r="F24" s="18">
        <f>'Insumos Valorizados'!G28</f>
        <v>16233.990233300603</v>
      </c>
      <c r="G24" s="18">
        <f>'Insumos Valorizados'!H28</f>
        <v>16595.889169503702</v>
      </c>
      <c r="H24" s="18">
        <f>'Insumos Valorizados'!I28</f>
        <v>17045.220815524459</v>
      </c>
      <c r="I24" s="18">
        <f>'Insumos Valorizados'!J28</f>
        <v>17392.955889021861</v>
      </c>
      <c r="J24" s="18">
        <f>'Insumos Valorizados'!K28</f>
        <v>17768.854965409031</v>
      </c>
      <c r="K24" s="18">
        <f>'Insumos Valorizados'!L28</f>
        <v>18133.157619228587</v>
      </c>
    </row>
    <row r="25" spans="2:11">
      <c r="B25" s="51" t="s">
        <v>35</v>
      </c>
      <c r="C25" s="18">
        <f>'Insumos Valorizados'!D38</f>
        <v>656292.35992751829</v>
      </c>
      <c r="D25" s="18">
        <f>'Insumos Valorizados'!E38</f>
        <v>670319.48977036681</v>
      </c>
      <c r="E25" s="18">
        <f>'Insumos Valorizados'!F38</f>
        <v>679673.66672552563</v>
      </c>
      <c r="F25" s="18">
        <f>'Insumos Valorizados'!G38</f>
        <v>693847.59508242458</v>
      </c>
      <c r="G25" s="18">
        <f>'Insumos Valorizados'!H38</f>
        <v>709017.15244669653</v>
      </c>
      <c r="H25" s="18">
        <f>'Insumos Valorizados'!I38</f>
        <v>728483.04999462143</v>
      </c>
      <c r="I25" s="18">
        <f>'Insumos Valorizados'!J38</f>
        <v>743505.82108711638</v>
      </c>
      <c r="J25" s="18">
        <f>'Insumos Valorizados'!K38</f>
        <v>759541.43594310433</v>
      </c>
      <c r="K25" s="18">
        <f>'Insumos Valorizados'!L38</f>
        <v>774945.64250911213</v>
      </c>
    </row>
    <row r="26" spans="2:11">
      <c r="B26" s="51" t="s">
        <v>36</v>
      </c>
      <c r="C26" s="18">
        <f>'Insumos Valorizados'!D48</f>
        <v>364785.04986016825</v>
      </c>
      <c r="D26" s="18">
        <f>'Insumos Valorizados'!E48</f>
        <v>372442.63949604053</v>
      </c>
      <c r="E26" s="18">
        <f>'Insumos Valorizados'!F48</f>
        <v>377031.98171579186</v>
      </c>
      <c r="F26" s="18">
        <f>'Insumos Valorizados'!G48</f>
        <v>384568.11796864495</v>
      </c>
      <c r="G26" s="18">
        <f>'Insumos Valorizados'!H48</f>
        <v>392828.91663898341</v>
      </c>
      <c r="H26" s="18">
        <f>'Insumos Valorizados'!I48</f>
        <v>403993.24849618692</v>
      </c>
      <c r="I26" s="18">
        <f>'Insumos Valorizados'!J48</f>
        <v>412348.08142272197</v>
      </c>
      <c r="J26" s="18">
        <f>'Insumos Valorizados'!K48</f>
        <v>421140.88110849541</v>
      </c>
      <c r="K26" s="18">
        <f>'Insumos Valorizados'!L48</f>
        <v>429566.93236852624</v>
      </c>
    </row>
    <row r="27" spans="2:11">
      <c r="B27" s="51" t="s">
        <v>110</v>
      </c>
      <c r="C27" s="18">
        <f>'Insumos Valorizados'!D58</f>
        <v>1910931.7539173774</v>
      </c>
      <c r="D27" s="18">
        <f>'Insumos Valorizados'!E58</f>
        <v>1952403.3984578103</v>
      </c>
      <c r="E27" s="18">
        <f>'Insumos Valorizados'!F58</f>
        <v>1985224.5237174481</v>
      </c>
      <c r="F27" s="18">
        <f>'Insumos Valorizados'!G58</f>
        <v>2027587.7618936598</v>
      </c>
      <c r="G27" s="18">
        <f>'Insumos Valorizados'!H58</f>
        <v>2073150.2612490207</v>
      </c>
      <c r="H27" s="18">
        <f>'Insumos Valorizados'!I58</f>
        <v>2130682.734814886</v>
      </c>
      <c r="I27" s="18">
        <f>'Insumos Valorizados'!J58</f>
        <v>2175128.313581448</v>
      </c>
      <c r="J27" s="18">
        <f>'Insumos Valorizados'!K58</f>
        <v>2220887.5115171224</v>
      </c>
      <c r="K27" s="18">
        <f>'Insumos Valorizados'!L58</f>
        <v>2266476.1299867034</v>
      </c>
    </row>
    <row r="28" spans="2:11">
      <c r="B28" s="51" t="s">
        <v>111</v>
      </c>
      <c r="C28" s="18">
        <f>'Insumos Valorizados'!D68</f>
        <v>374086.01860362198</v>
      </c>
      <c r="D28" s="18">
        <f>'Insumos Valorizados'!E68</f>
        <v>382067.15391543228</v>
      </c>
      <c r="E28" s="18">
        <f>'Insumos Valorizados'!F68</f>
        <v>387558.0432021413</v>
      </c>
      <c r="F28" s="18">
        <f>'Insumos Valorizados'!G68</f>
        <v>395571.74669841584</v>
      </c>
      <c r="G28" s="18">
        <f>'Insumos Valorizados'!H68</f>
        <v>404249.95026752632</v>
      </c>
      <c r="H28" s="18">
        <f>'Insumos Valorizados'!I68</f>
        <v>415559.51215949841</v>
      </c>
      <c r="I28" s="18">
        <f>'Insumos Valorizados'!J68</f>
        <v>424177.86301459</v>
      </c>
      <c r="J28" s="18">
        <f>'Insumos Valorizados'!K68</f>
        <v>433195.34033092856</v>
      </c>
      <c r="K28" s="18">
        <f>'Insumos Valorizados'!L68</f>
        <v>441972.55515551008</v>
      </c>
    </row>
    <row r="29" spans="2:11">
      <c r="B29" s="51" t="s">
        <v>43</v>
      </c>
      <c r="C29" s="18">
        <f>'Insumos Valorizados'!D78</f>
        <v>237618.78687220532</v>
      </c>
      <c r="D29" s="18">
        <f>'Insumos Valorizados'!E78</f>
        <v>230725.59472430358</v>
      </c>
      <c r="E29" s="18">
        <f>'Insumos Valorizados'!F78</f>
        <v>232859.78979497729</v>
      </c>
      <c r="F29" s="18">
        <f>'Insumos Valorizados'!G78</f>
        <v>237704.50097114593</v>
      </c>
      <c r="G29" s="18">
        <f>'Insumos Valorizados'!H78</f>
        <v>242709.72464619204</v>
      </c>
      <c r="H29" s="18">
        <f>'Insumos Valorizados'!I78</f>
        <v>249365.69194715377</v>
      </c>
      <c r="I29" s="18">
        <f>'Insumos Valorizados'!J78</f>
        <v>254301.11442105379</v>
      </c>
      <c r="J29" s="18">
        <f>'Insumos Valorizados'!K78</f>
        <v>259993.2361506084</v>
      </c>
      <c r="K29" s="18">
        <f>'Insumos Valorizados'!L78</f>
        <v>265135.69909114763</v>
      </c>
    </row>
    <row r="30" spans="2:11">
      <c r="B30" s="51" t="s">
        <v>37</v>
      </c>
      <c r="C30" s="18">
        <f>'Insumos Valorizados'!D88</f>
        <v>212390.36680911668</v>
      </c>
      <c r="D30" s="18">
        <f>'Insumos Valorizados'!E88</f>
        <v>201750.2938111648</v>
      </c>
      <c r="E30" s="18">
        <f>'Insumos Valorizados'!F88</f>
        <v>205443.01415856881</v>
      </c>
      <c r="F30" s="18">
        <f>'Insumos Valorizados'!G88</f>
        <v>210294.05770934513</v>
      </c>
      <c r="G30" s="18">
        <f>'Insumos Valorizados'!H88</f>
        <v>215100.68483401695</v>
      </c>
      <c r="H30" s="18">
        <f>'Insumos Valorizados'!I88</f>
        <v>220436.76401295932</v>
      </c>
      <c r="I30" s="18">
        <f>'Insumos Valorizados'!J88</f>
        <v>224864.57155182213</v>
      </c>
      <c r="J30" s="18">
        <f>'Insumos Valorizados'!K88</f>
        <v>229890.98226182163</v>
      </c>
      <c r="K30" s="18">
        <f>'Insumos Valorizados'!L88</f>
        <v>234698.14074668707</v>
      </c>
    </row>
    <row r="32" spans="2:11" ht="28">
      <c r="B32" s="149" t="s">
        <v>284</v>
      </c>
      <c r="C32" s="150">
        <f>SUM(C22:C30)</f>
        <v>7117457.6756116403</v>
      </c>
      <c r="D32" s="150">
        <f t="shared" ref="D32:K32" si="1">SUM(D22:D31)</f>
        <v>7242906.2983654384</v>
      </c>
      <c r="E32" s="150">
        <f t="shared" si="1"/>
        <v>7348763.764884172</v>
      </c>
      <c r="F32" s="150">
        <f t="shared" si="1"/>
        <v>7503132.5089241508</v>
      </c>
      <c r="G32" s="150">
        <f t="shared" si="1"/>
        <v>7668279.6543445457</v>
      </c>
      <c r="H32" s="150">
        <f t="shared" si="1"/>
        <v>7879401.490618797</v>
      </c>
      <c r="I32" s="150">
        <f t="shared" si="1"/>
        <v>8042124.166358904</v>
      </c>
      <c r="J32" s="150">
        <f t="shared" si="1"/>
        <v>8214612.4803489167</v>
      </c>
      <c r="K32" s="150">
        <f t="shared" si="1"/>
        <v>8381640.6007499434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9"/>
  <sheetViews>
    <sheetView topLeftCell="A83" workbookViewId="0">
      <selection activeCell="F111" sqref="F111"/>
    </sheetView>
  </sheetViews>
  <sheetFormatPr baseColWidth="10" defaultRowHeight="15" x14ac:dyDescent="0"/>
  <cols>
    <col min="2" max="2" width="14.83203125" customWidth="1"/>
    <col min="3" max="3" width="30.1640625" customWidth="1"/>
    <col min="4" max="4" width="15.1640625" customWidth="1"/>
    <col min="5" max="12" width="13.83203125" bestFit="1" customWidth="1"/>
  </cols>
  <sheetData>
    <row r="2" spans="2:12" ht="16" customHeight="1">
      <c r="B2" s="32" t="s">
        <v>404</v>
      </c>
    </row>
    <row r="3" spans="2:12" ht="16" customHeight="1">
      <c r="B3" s="32"/>
    </row>
    <row r="4" spans="2:12" ht="16" customHeight="1">
      <c r="B4" s="32"/>
    </row>
    <row r="5" spans="2:12" ht="16" customHeight="1">
      <c r="B5" s="211" t="s">
        <v>555</v>
      </c>
    </row>
    <row r="6" spans="2:12" ht="16" customHeight="1">
      <c r="B6" s="32"/>
    </row>
    <row r="7" spans="2:12" ht="16" customHeight="1">
      <c r="B7" s="32"/>
    </row>
    <row r="8" spans="2:12" ht="18">
      <c r="B8" s="40" t="s">
        <v>94</v>
      </c>
      <c r="C8" s="251" t="str">
        <f>Parametros!B7</f>
        <v xml:space="preserve">Grissini </v>
      </c>
      <c r="D8" s="251">
        <v>2013</v>
      </c>
      <c r="E8" s="251">
        <v>2014</v>
      </c>
      <c r="F8" s="251">
        <v>2015</v>
      </c>
      <c r="G8" s="251">
        <v>2016</v>
      </c>
      <c r="H8" s="251">
        <v>2017</v>
      </c>
      <c r="I8" s="251">
        <v>2018</v>
      </c>
      <c r="J8" s="251">
        <v>2019</v>
      </c>
      <c r="K8" s="251">
        <v>2020</v>
      </c>
      <c r="L8" s="251">
        <v>2021</v>
      </c>
    </row>
    <row r="9" spans="2:12">
      <c r="B9" s="37"/>
      <c r="C9" s="212" t="s">
        <v>405</v>
      </c>
      <c r="D9" s="258">
        <f>Parametros!$I34*Parametros!$G34</f>
        <v>58080</v>
      </c>
      <c r="E9" s="258">
        <f>Parametros!$I34*Parametros!$G34</f>
        <v>58080</v>
      </c>
      <c r="F9" s="258">
        <f>Parametros!$I34*Parametros!$G34</f>
        <v>58080</v>
      </c>
      <c r="G9" s="258">
        <f>Parametros!$I34*Parametros!$G34</f>
        <v>58080</v>
      </c>
      <c r="H9" s="258">
        <f>Parametros!$I34*Parametros!$G34</f>
        <v>58080</v>
      </c>
      <c r="I9" s="258">
        <f>Parametros!$I34*Parametros!$G34</f>
        <v>58080</v>
      </c>
      <c r="J9" s="258">
        <f>Parametros!$I34*Parametros!$G34</f>
        <v>58080</v>
      </c>
      <c r="K9" s="258">
        <f>Parametros!$I34*Parametros!$G34</f>
        <v>58080</v>
      </c>
      <c r="L9" s="258">
        <f>Parametros!$I34*Parametros!$G34</f>
        <v>58080</v>
      </c>
    </row>
    <row r="10" spans="2:12">
      <c r="B10" s="37"/>
      <c r="C10" s="212" t="s">
        <v>21</v>
      </c>
      <c r="D10" s="258">
        <f>Parametros!$I35*Parametros!$G35</f>
        <v>19360</v>
      </c>
      <c r="E10" s="258">
        <f>Parametros!$I35*Parametros!$G35</f>
        <v>19360</v>
      </c>
      <c r="F10" s="258">
        <f>Parametros!$I35*Parametros!$G35</f>
        <v>19360</v>
      </c>
      <c r="G10" s="258">
        <f>Parametros!$I35*Parametros!$G35</f>
        <v>19360</v>
      </c>
      <c r="H10" s="258">
        <f>Parametros!$I35*Parametros!$G35</f>
        <v>19360</v>
      </c>
      <c r="I10" s="258">
        <f>Parametros!$I35*Parametros!$G35</f>
        <v>19360</v>
      </c>
      <c r="J10" s="258">
        <f>Parametros!$I35*Parametros!$G35</f>
        <v>19360</v>
      </c>
      <c r="K10" s="258">
        <f>Parametros!$I35*Parametros!$G35</f>
        <v>19360</v>
      </c>
      <c r="L10" s="258">
        <f>Parametros!$I35*Parametros!$G35</f>
        <v>19360</v>
      </c>
    </row>
    <row r="11" spans="2:12">
      <c r="B11" s="37"/>
      <c r="C11" s="212" t="s">
        <v>22</v>
      </c>
      <c r="D11" s="258">
        <f>Parametros!$I36*Parametros!$G36</f>
        <v>58080</v>
      </c>
      <c r="E11" s="258">
        <f>Parametros!$I36*Parametros!$G36</f>
        <v>58080</v>
      </c>
      <c r="F11" s="258">
        <f>Parametros!$I36*Parametros!$G36</f>
        <v>58080</v>
      </c>
      <c r="G11" s="258">
        <f>Parametros!$I36*Parametros!$G36</f>
        <v>58080</v>
      </c>
      <c r="H11" s="258">
        <f>Parametros!$I36*Parametros!$G36</f>
        <v>58080</v>
      </c>
      <c r="I11" s="258">
        <f>Parametros!$I36*Parametros!$G36</f>
        <v>58080</v>
      </c>
      <c r="J11" s="258">
        <f>Parametros!$I36*Parametros!$G36</f>
        <v>58080</v>
      </c>
      <c r="K11" s="258">
        <f>Parametros!$I36*Parametros!$G36</f>
        <v>58080</v>
      </c>
      <c r="L11" s="258">
        <f>Parametros!$I36*Parametros!$G36</f>
        <v>58080</v>
      </c>
    </row>
    <row r="12" spans="2:12">
      <c r="B12" s="37"/>
      <c r="C12" s="213" t="s">
        <v>12</v>
      </c>
      <c r="D12" s="259">
        <f>SUM(D9:D11)</f>
        <v>135520</v>
      </c>
      <c r="E12" s="259">
        <f t="shared" ref="E12:L12" si="0">SUM(E9:E11)</f>
        <v>135520</v>
      </c>
      <c r="F12" s="259">
        <f t="shared" si="0"/>
        <v>135520</v>
      </c>
      <c r="G12" s="259">
        <f t="shared" si="0"/>
        <v>135520</v>
      </c>
      <c r="H12" s="259">
        <f t="shared" si="0"/>
        <v>135520</v>
      </c>
      <c r="I12" s="259">
        <f t="shared" si="0"/>
        <v>135520</v>
      </c>
      <c r="J12" s="259">
        <f t="shared" si="0"/>
        <v>135520</v>
      </c>
      <c r="K12" s="259">
        <f t="shared" si="0"/>
        <v>135520</v>
      </c>
      <c r="L12" s="259">
        <f t="shared" si="0"/>
        <v>135520</v>
      </c>
    </row>
    <row r="13" spans="2:12">
      <c r="B13" s="45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2:12" ht="18">
      <c r="B14" s="40" t="s">
        <v>101</v>
      </c>
      <c r="C14" s="251" t="str">
        <f>Parametros!B8</f>
        <v>Kamish</v>
      </c>
      <c r="D14" s="251">
        <v>2013</v>
      </c>
      <c r="E14" s="251">
        <v>2014</v>
      </c>
      <c r="F14" s="251">
        <v>2015</v>
      </c>
      <c r="G14" s="251">
        <v>2016</v>
      </c>
      <c r="H14" s="251">
        <v>2017</v>
      </c>
      <c r="I14" s="251">
        <v>2018</v>
      </c>
      <c r="J14" s="251">
        <v>2019</v>
      </c>
      <c r="K14" s="251">
        <v>2020</v>
      </c>
      <c r="L14" s="251">
        <v>2021</v>
      </c>
    </row>
    <row r="15" spans="2:12">
      <c r="B15" s="45"/>
      <c r="C15" s="212" t="s">
        <v>405</v>
      </c>
      <c r="D15" s="258">
        <f>Parametros!$J34*Parametros!$G34</f>
        <v>58080</v>
      </c>
      <c r="E15" s="258">
        <f>Parametros!$J34*Parametros!$G34</f>
        <v>58080</v>
      </c>
      <c r="F15" s="258">
        <f>Parametros!$J34*Parametros!$G34</f>
        <v>58080</v>
      </c>
      <c r="G15" s="258">
        <f>Parametros!$J34*Parametros!$G34</f>
        <v>58080</v>
      </c>
      <c r="H15" s="258">
        <f>Parametros!$J34*Parametros!$G34</f>
        <v>58080</v>
      </c>
      <c r="I15" s="258">
        <f>Parametros!$J34*Parametros!$G34</f>
        <v>58080</v>
      </c>
      <c r="J15" s="258">
        <f>Parametros!$J34*Parametros!$G34</f>
        <v>58080</v>
      </c>
      <c r="K15" s="258">
        <f>Parametros!$J34*Parametros!$G34</f>
        <v>58080</v>
      </c>
      <c r="L15" s="258">
        <f>Parametros!$J34*Parametros!$G34</f>
        <v>58080</v>
      </c>
    </row>
    <row r="16" spans="2:12">
      <c r="B16" s="45"/>
      <c r="C16" s="212" t="s">
        <v>21</v>
      </c>
      <c r="D16" s="258">
        <f>Parametros!$J35*Parametros!$G35</f>
        <v>19360</v>
      </c>
      <c r="E16" s="258">
        <f>Parametros!$J35*Parametros!$G35</f>
        <v>19360</v>
      </c>
      <c r="F16" s="258">
        <f>Parametros!$J35*Parametros!$G35</f>
        <v>19360</v>
      </c>
      <c r="G16" s="258">
        <f>Parametros!$J35*Parametros!$G35</f>
        <v>19360</v>
      </c>
      <c r="H16" s="258">
        <f>Parametros!$J35*Parametros!$G35</f>
        <v>19360</v>
      </c>
      <c r="I16" s="258">
        <f>Parametros!$J35*Parametros!$G35</f>
        <v>19360</v>
      </c>
      <c r="J16" s="258">
        <f>Parametros!$J35*Parametros!$G35</f>
        <v>19360</v>
      </c>
      <c r="K16" s="258">
        <f>Parametros!$J35*Parametros!$G35</f>
        <v>19360</v>
      </c>
      <c r="L16" s="258">
        <f>Parametros!$J35*Parametros!$G35</f>
        <v>19360</v>
      </c>
    </row>
    <row r="17" spans="2:12">
      <c r="B17" s="45"/>
      <c r="C17" s="212" t="s">
        <v>22</v>
      </c>
      <c r="D17" s="258">
        <f>Parametros!$J36*Parametros!$G36</f>
        <v>58080</v>
      </c>
      <c r="E17" s="258">
        <f>Parametros!$J36*Parametros!$G36</f>
        <v>58080</v>
      </c>
      <c r="F17" s="258">
        <f>Parametros!$J36*Parametros!$G36</f>
        <v>58080</v>
      </c>
      <c r="G17" s="258">
        <f>Parametros!$J36*Parametros!$G36</f>
        <v>58080</v>
      </c>
      <c r="H17" s="258">
        <f>Parametros!$J36*Parametros!$G36</f>
        <v>58080</v>
      </c>
      <c r="I17" s="258">
        <f>Parametros!$J36*Parametros!$G36</f>
        <v>58080</v>
      </c>
      <c r="J17" s="258">
        <f>Parametros!$J36*Parametros!$G36</f>
        <v>58080</v>
      </c>
      <c r="K17" s="258">
        <f>Parametros!$J36*Parametros!$G36</f>
        <v>58080</v>
      </c>
      <c r="L17" s="258">
        <f>Parametros!$J36*Parametros!$G36</f>
        <v>58080</v>
      </c>
    </row>
    <row r="18" spans="2:12">
      <c r="B18" s="45"/>
      <c r="C18" s="213" t="s">
        <v>12</v>
      </c>
      <c r="D18" s="259">
        <f>SUM(D15:D17)</f>
        <v>135520</v>
      </c>
      <c r="E18" s="259">
        <f t="shared" ref="E18:L18" si="1">SUM(E15:E17)</f>
        <v>135520</v>
      </c>
      <c r="F18" s="259">
        <f t="shared" si="1"/>
        <v>135520</v>
      </c>
      <c r="G18" s="259">
        <f t="shared" si="1"/>
        <v>135520</v>
      </c>
      <c r="H18" s="259">
        <f t="shared" si="1"/>
        <v>135520</v>
      </c>
      <c r="I18" s="259">
        <f t="shared" si="1"/>
        <v>135520</v>
      </c>
      <c r="J18" s="259">
        <f t="shared" si="1"/>
        <v>135520</v>
      </c>
      <c r="K18" s="259">
        <f t="shared" si="1"/>
        <v>135520</v>
      </c>
      <c r="L18" s="259">
        <f t="shared" si="1"/>
        <v>135520</v>
      </c>
    </row>
    <row r="19" spans="2:12">
      <c r="B19" s="45"/>
      <c r="C19" s="43"/>
      <c r="D19" s="44"/>
      <c r="E19" s="44"/>
      <c r="F19" s="44"/>
      <c r="G19" s="44"/>
      <c r="H19" s="44"/>
      <c r="I19" s="44"/>
      <c r="J19" s="44"/>
      <c r="K19" s="44"/>
      <c r="L19" s="44"/>
    </row>
    <row r="20" spans="2:12">
      <c r="B20" s="45"/>
      <c r="C20" s="43"/>
      <c r="D20" s="48"/>
      <c r="E20" s="48"/>
      <c r="F20" s="48"/>
      <c r="G20" s="48"/>
      <c r="H20" s="48"/>
      <c r="I20" s="48"/>
      <c r="J20" s="48"/>
      <c r="K20" s="48"/>
      <c r="L20" s="48"/>
    </row>
    <row r="21" spans="2:12" ht="18">
      <c r="B21" s="40" t="s">
        <v>102</v>
      </c>
      <c r="C21" s="251" t="str">
        <f>Parametros!B9</f>
        <v>Roscas con pisco</v>
      </c>
      <c r="D21" s="251">
        <v>2013</v>
      </c>
      <c r="E21" s="251">
        <v>2014</v>
      </c>
      <c r="F21" s="251">
        <v>2015</v>
      </c>
      <c r="G21" s="251">
        <v>2016</v>
      </c>
      <c r="H21" s="251">
        <v>2017</v>
      </c>
      <c r="I21" s="251">
        <v>2018</v>
      </c>
      <c r="J21" s="251">
        <v>2019</v>
      </c>
      <c r="K21" s="251">
        <v>2020</v>
      </c>
      <c r="L21" s="251">
        <v>2021</v>
      </c>
    </row>
    <row r="22" spans="2:12">
      <c r="B22" s="37"/>
      <c r="C22" s="212" t="s">
        <v>405</v>
      </c>
      <c r="D22" s="258">
        <f>Parametros!$K34*Parametros!$G34</f>
        <v>58080</v>
      </c>
      <c r="E22" s="258">
        <f>Parametros!$K34*Parametros!$G34</f>
        <v>58080</v>
      </c>
      <c r="F22" s="258">
        <f>Parametros!$K34*Parametros!$G34</f>
        <v>58080</v>
      </c>
      <c r="G22" s="258">
        <f>Parametros!$K34*Parametros!$G34</f>
        <v>58080</v>
      </c>
      <c r="H22" s="258">
        <f>Parametros!$K34*Parametros!$G34</f>
        <v>58080</v>
      </c>
      <c r="I22" s="258">
        <f>Parametros!$K34*Parametros!$G34</f>
        <v>58080</v>
      </c>
      <c r="J22" s="258">
        <f>Parametros!$K34*Parametros!$G34</f>
        <v>58080</v>
      </c>
      <c r="K22" s="258">
        <f>Parametros!$K34*Parametros!$G34</f>
        <v>58080</v>
      </c>
      <c r="L22" s="258">
        <f>Parametros!$K34*Parametros!$G34</f>
        <v>58080</v>
      </c>
    </row>
    <row r="23" spans="2:12">
      <c r="B23" s="37"/>
      <c r="C23" s="212" t="s">
        <v>21</v>
      </c>
      <c r="D23" s="258">
        <f>Parametros!$K35*Parametros!$G35</f>
        <v>19360</v>
      </c>
      <c r="E23" s="258">
        <f>Parametros!$K35*Parametros!$G35</f>
        <v>19360</v>
      </c>
      <c r="F23" s="258">
        <f>Parametros!$K35*Parametros!$G35</f>
        <v>19360</v>
      </c>
      <c r="G23" s="258">
        <f>Parametros!$K35*Parametros!$G35</f>
        <v>19360</v>
      </c>
      <c r="H23" s="258">
        <f>Parametros!$K35*Parametros!$G35</f>
        <v>19360</v>
      </c>
      <c r="I23" s="258">
        <f>Parametros!$K35*Parametros!$G35</f>
        <v>19360</v>
      </c>
      <c r="J23" s="258">
        <f>Parametros!$K35*Parametros!$G35</f>
        <v>19360</v>
      </c>
      <c r="K23" s="258">
        <f>Parametros!$K35*Parametros!$G35</f>
        <v>19360</v>
      </c>
      <c r="L23" s="258">
        <f>Parametros!$K35*Parametros!$G35</f>
        <v>19360</v>
      </c>
    </row>
    <row r="24" spans="2:12">
      <c r="B24" s="37"/>
      <c r="C24" s="212" t="s">
        <v>22</v>
      </c>
      <c r="D24" s="258">
        <f>Parametros!$K36*Parametros!$G36</f>
        <v>58080</v>
      </c>
      <c r="E24" s="258">
        <f>Parametros!$K36*Parametros!$G36</f>
        <v>58080</v>
      </c>
      <c r="F24" s="258">
        <f>Parametros!$K36*Parametros!$G36</f>
        <v>58080</v>
      </c>
      <c r="G24" s="258">
        <f>Parametros!$K36*Parametros!$G36</f>
        <v>58080</v>
      </c>
      <c r="H24" s="258">
        <f>Parametros!$K36*Parametros!$G36</f>
        <v>58080</v>
      </c>
      <c r="I24" s="258">
        <f>Parametros!$K36*Parametros!$G36</f>
        <v>58080</v>
      </c>
      <c r="J24" s="258">
        <f>Parametros!$K36*Parametros!$G36</f>
        <v>58080</v>
      </c>
      <c r="K24" s="258">
        <f>Parametros!$K36*Parametros!$G36</f>
        <v>58080</v>
      </c>
      <c r="L24" s="258">
        <f>Parametros!$K36*Parametros!$G36</f>
        <v>58080</v>
      </c>
    </row>
    <row r="25" spans="2:12">
      <c r="B25" s="37"/>
      <c r="C25" s="213" t="s">
        <v>12</v>
      </c>
      <c r="D25" s="259">
        <f>SUM(D22:D24)</f>
        <v>135520</v>
      </c>
      <c r="E25" s="259">
        <f t="shared" ref="E25:L25" si="2">SUM(E22:E24)</f>
        <v>135520</v>
      </c>
      <c r="F25" s="259">
        <f t="shared" si="2"/>
        <v>135520</v>
      </c>
      <c r="G25" s="259">
        <f t="shared" si="2"/>
        <v>135520</v>
      </c>
      <c r="H25" s="259">
        <f t="shared" si="2"/>
        <v>135520</v>
      </c>
      <c r="I25" s="259">
        <f t="shared" si="2"/>
        <v>135520</v>
      </c>
      <c r="J25" s="259">
        <f t="shared" si="2"/>
        <v>135520</v>
      </c>
      <c r="K25" s="259">
        <f t="shared" si="2"/>
        <v>135520</v>
      </c>
      <c r="L25" s="259">
        <f t="shared" si="2"/>
        <v>135520</v>
      </c>
    </row>
    <row r="27" spans="2:12" ht="18">
      <c r="B27" s="211" t="s">
        <v>511</v>
      </c>
    </row>
    <row r="30" spans="2:12" ht="18">
      <c r="B30" s="40" t="s">
        <v>94</v>
      </c>
      <c r="C30" s="251" t="str">
        <f>C8</f>
        <v xml:space="preserve">Grissini </v>
      </c>
      <c r="D30" s="251">
        <v>2013</v>
      </c>
      <c r="E30" s="251">
        <v>2014</v>
      </c>
      <c r="F30" s="251">
        <v>2015</v>
      </c>
      <c r="G30" s="251">
        <v>2016</v>
      </c>
      <c r="H30" s="251">
        <v>2017</v>
      </c>
      <c r="I30" s="251">
        <v>2018</v>
      </c>
      <c r="J30" s="251">
        <v>2019</v>
      </c>
      <c r="K30" s="251">
        <v>2020</v>
      </c>
      <c r="L30" s="251">
        <v>2021</v>
      </c>
    </row>
    <row r="31" spans="2:12">
      <c r="B31" s="37"/>
      <c r="C31" s="212" t="s">
        <v>405</v>
      </c>
      <c r="D31" s="258">
        <f>'Plan de producción'!D$39*Formulacion!$J24</f>
        <v>354595.99999999994</v>
      </c>
      <c r="E31" s="258">
        <f>'Plan de producción'!E$39*Formulacion!$J24</f>
        <v>358121.35599999997</v>
      </c>
      <c r="F31" s="258">
        <f>'Plan de producción'!F$39*Formulacion!$J24</f>
        <v>359735.0107799999</v>
      </c>
      <c r="G31" s="258">
        <f>'Plan de producción'!G$39*Formulacion!$J24</f>
        <v>363481.44294779992</v>
      </c>
      <c r="H31" s="258">
        <f>'Plan de producción'!H$39*Formulacion!$J24</f>
        <v>367116.25737727789</v>
      </c>
      <c r="I31" s="258">
        <f>'Plan de producción'!I$39*Formulacion!$J24</f>
        <v>371582.18276380649</v>
      </c>
      <c r="J31" s="258">
        <f>'Plan de producción'!J$39*Formulacion!$J24</f>
        <v>375236.86899046332</v>
      </c>
      <c r="K31" s="258">
        <f>'Plan de producción'!K$39*Formulacion!$J24</f>
        <v>379801.58064654178</v>
      </c>
      <c r="L31" s="258">
        <f>'Plan de producción'!L$39*Formulacion!$J24</f>
        <v>383537.10853253235</v>
      </c>
    </row>
    <row r="32" spans="2:12">
      <c r="B32" s="37"/>
      <c r="C32" s="212" t="s">
        <v>21</v>
      </c>
      <c r="D32" s="258">
        <f>'Plan de producción'!D$39*Formulacion!$J25</f>
        <v>461713.54166666663</v>
      </c>
      <c r="E32" s="258">
        <f>'Plan de producción'!E$39*Formulacion!$J25</f>
        <v>466303.84895833331</v>
      </c>
      <c r="F32" s="258">
        <f>'Plan de producción'!F$39*Formulacion!$J25</f>
        <v>468404.96195312485</v>
      </c>
      <c r="G32" s="258">
        <f>'Plan de producción'!G$39*Formulacion!$J25</f>
        <v>473283.12883828121</v>
      </c>
      <c r="H32" s="258">
        <f>'Plan de producción'!H$39*Formulacion!$J25</f>
        <v>478015.96012666391</v>
      </c>
      <c r="I32" s="258">
        <f>'Plan de producción'!I$39*Formulacion!$J25</f>
        <v>483830.96714037302</v>
      </c>
      <c r="J32" s="258">
        <f>'Plan de producción'!J$39*Formulacion!$J25</f>
        <v>488589.67316466582</v>
      </c>
      <c r="K32" s="258">
        <f>'Plan de producción'!K$39*Formulacion!$J25</f>
        <v>494533.30813351797</v>
      </c>
      <c r="L32" s="258">
        <f>'Plan de producción'!L$39*Formulacion!$J25</f>
        <v>499397.27673506818</v>
      </c>
    </row>
    <row r="33" spans="2:12">
      <c r="B33" s="37"/>
      <c r="C33" s="212" t="s">
        <v>22</v>
      </c>
      <c r="D33" s="258">
        <f>'Plan de producción'!D$39*Formulacion!$J26</f>
        <v>461713.54166666663</v>
      </c>
      <c r="E33" s="258">
        <f>'Plan de producción'!E$39*Formulacion!$J26</f>
        <v>466303.84895833331</v>
      </c>
      <c r="F33" s="258">
        <f>'Plan de producción'!F$39*Formulacion!$J26</f>
        <v>468404.96195312485</v>
      </c>
      <c r="G33" s="258">
        <f>'Plan de producción'!G$39*Formulacion!$J26</f>
        <v>473283.12883828121</v>
      </c>
      <c r="H33" s="258">
        <f>'Plan de producción'!H$39*Formulacion!$J26</f>
        <v>478015.96012666391</v>
      </c>
      <c r="I33" s="258">
        <f>'Plan de producción'!I$39*Formulacion!$J26</f>
        <v>483830.96714037302</v>
      </c>
      <c r="J33" s="258">
        <f>'Plan de producción'!J$39*Formulacion!$J26</f>
        <v>488589.67316466582</v>
      </c>
      <c r="K33" s="258">
        <f>'Plan de producción'!K$39*Formulacion!$J26</f>
        <v>494533.30813351797</v>
      </c>
      <c r="L33" s="258">
        <f>'Plan de producción'!L$39*Formulacion!$J26</f>
        <v>499397.27673506818</v>
      </c>
    </row>
    <row r="34" spans="2:12">
      <c r="B34" s="37"/>
      <c r="C34" s="213" t="s">
        <v>12</v>
      </c>
      <c r="D34" s="259">
        <f>SUM(D31:D33)</f>
        <v>1278023.083333333</v>
      </c>
      <c r="E34" s="259">
        <f t="shared" ref="E34:L34" si="3">SUM(E31:E33)</f>
        <v>1290729.0539166667</v>
      </c>
      <c r="F34" s="259">
        <f t="shared" si="3"/>
        <v>1296544.9346862496</v>
      </c>
      <c r="G34" s="259">
        <f t="shared" si="3"/>
        <v>1310047.7006243623</v>
      </c>
      <c r="H34" s="259">
        <f t="shared" si="3"/>
        <v>1323148.1776306056</v>
      </c>
      <c r="I34" s="259">
        <f t="shared" si="3"/>
        <v>1339244.1170445525</v>
      </c>
      <c r="J34" s="259">
        <f t="shared" si="3"/>
        <v>1352416.2153197951</v>
      </c>
      <c r="K34" s="259">
        <f t="shared" si="3"/>
        <v>1368868.1969135776</v>
      </c>
      <c r="L34" s="259">
        <f t="shared" si="3"/>
        <v>1382331.6620026687</v>
      </c>
    </row>
    <row r="35" spans="2:12">
      <c r="B35" s="45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2:12" ht="18">
      <c r="B36" s="40" t="s">
        <v>101</v>
      </c>
      <c r="C36" s="251" t="str">
        <f>C14</f>
        <v>Kamish</v>
      </c>
      <c r="D36" s="251">
        <v>2013</v>
      </c>
      <c r="E36" s="251">
        <v>2014</v>
      </c>
      <c r="F36" s="251">
        <v>2015</v>
      </c>
      <c r="G36" s="251">
        <v>2016</v>
      </c>
      <c r="H36" s="251">
        <v>2017</v>
      </c>
      <c r="I36" s="251">
        <v>2018</v>
      </c>
      <c r="J36" s="251">
        <v>2019</v>
      </c>
      <c r="K36" s="251">
        <v>2020</v>
      </c>
      <c r="L36" s="251">
        <v>2021</v>
      </c>
    </row>
    <row r="37" spans="2:12">
      <c r="B37" s="45"/>
      <c r="C37" s="212" t="s">
        <v>405</v>
      </c>
      <c r="D37" s="258">
        <f>'Plan de producción'!D$40*Formulacion!$K24</f>
        <v>315500.69444444438</v>
      </c>
      <c r="E37" s="258">
        <f>'Plan de producción'!E$40*Formulacion!$K24</f>
        <v>318688.00833333324</v>
      </c>
      <c r="F37" s="258">
        <f>'Plan de producción'!F$40*Formulacion!$K24</f>
        <v>321831.18702777778</v>
      </c>
      <c r="G37" s="258">
        <f>'Plan de producción'!G$40*Formulacion!$K24</f>
        <v>325049.49889805552</v>
      </c>
      <c r="H37" s="258">
        <f>'Plan de producción'!H$40*Formulacion!$K24</f>
        <v>328647.37741773966</v>
      </c>
      <c r="I37" s="258">
        <f>'Plan de producción'!I$40*Formulacion!$K24</f>
        <v>333667.31756750017</v>
      </c>
      <c r="J37" s="258">
        <f>'Plan de producción'!J$40*Formulacion!$K24</f>
        <v>337246.43604787474</v>
      </c>
      <c r="K37" s="258">
        <f>'Plan de producción'!K$40*Formulacion!$K24</f>
        <v>340595.7528225882</v>
      </c>
      <c r="L37" s="258">
        <f>'Plan de producción'!L$40*Formulacion!$K24</f>
        <v>344001.71035081416</v>
      </c>
    </row>
    <row r="38" spans="2:12">
      <c r="B38" s="45"/>
      <c r="C38" s="212" t="s">
        <v>21</v>
      </c>
      <c r="D38" s="258">
        <f>'Plan de producción'!D$40*Formulacion!$K25</f>
        <v>441700.97222222213</v>
      </c>
      <c r="E38" s="258">
        <f>'Plan de producción'!E$40*Formulacion!$K25</f>
        <v>446163.2116666665</v>
      </c>
      <c r="F38" s="258">
        <f>'Plan de producción'!F$40*Formulacion!$K25</f>
        <v>450563.66183888889</v>
      </c>
      <c r="G38" s="258">
        <f>'Plan de producción'!G$40*Formulacion!$K25</f>
        <v>455069.29845727771</v>
      </c>
      <c r="H38" s="258">
        <f>'Plan de producción'!H$40*Formulacion!$K25</f>
        <v>460106.32838483551</v>
      </c>
      <c r="I38" s="258">
        <f>'Plan de producción'!I$40*Formulacion!$K25</f>
        <v>467134.24459450023</v>
      </c>
      <c r="J38" s="258">
        <f>'Plan de producción'!J$40*Formulacion!$K25</f>
        <v>472145.01046702458</v>
      </c>
      <c r="K38" s="258">
        <f>'Plan de producción'!K$40*Formulacion!$K25</f>
        <v>476834.05395162344</v>
      </c>
      <c r="L38" s="258">
        <f>'Plan de producción'!L$40*Formulacion!$K25</f>
        <v>481602.3944911398</v>
      </c>
    </row>
    <row r="39" spans="2:12">
      <c r="B39" s="45"/>
      <c r="C39" s="212" t="s">
        <v>22</v>
      </c>
      <c r="D39" s="258">
        <f>'Plan de producción'!D$40*Formulacion!$K26</f>
        <v>441700.97222222213</v>
      </c>
      <c r="E39" s="258">
        <f>'Plan de producción'!E$40*Formulacion!$K26</f>
        <v>446163.2116666665</v>
      </c>
      <c r="F39" s="258">
        <f>'Plan de producción'!F$40*Formulacion!$K26</f>
        <v>450563.66183888889</v>
      </c>
      <c r="G39" s="258">
        <f>'Plan de producción'!G$40*Formulacion!$K26</f>
        <v>455069.29845727771</v>
      </c>
      <c r="H39" s="258">
        <f>'Plan de producción'!H$40*Formulacion!$K26</f>
        <v>460106.32838483551</v>
      </c>
      <c r="I39" s="258">
        <f>'Plan de producción'!I$40*Formulacion!$K26</f>
        <v>467134.24459450023</v>
      </c>
      <c r="J39" s="258">
        <f>'Plan de producción'!J$40*Formulacion!$K26</f>
        <v>472145.01046702458</v>
      </c>
      <c r="K39" s="258">
        <f>'Plan de producción'!K$40*Formulacion!$K26</f>
        <v>476834.05395162344</v>
      </c>
      <c r="L39" s="258">
        <f>'Plan de producción'!L$40*Formulacion!$K26</f>
        <v>481602.3944911398</v>
      </c>
    </row>
    <row r="40" spans="2:12">
      <c r="B40" s="45"/>
      <c r="C40" s="213" t="s">
        <v>12</v>
      </c>
      <c r="D40" s="259">
        <f>SUM(D37:D39)</f>
        <v>1198902.6388888885</v>
      </c>
      <c r="E40" s="259">
        <f t="shared" ref="E40:L40" si="4">SUM(E37:E39)</f>
        <v>1211014.4316666662</v>
      </c>
      <c r="F40" s="259">
        <f t="shared" si="4"/>
        <v>1222958.5107055556</v>
      </c>
      <c r="G40" s="259">
        <f t="shared" si="4"/>
        <v>1235188.0958126108</v>
      </c>
      <c r="H40" s="259">
        <f t="shared" si="4"/>
        <v>1248860.0341874107</v>
      </c>
      <c r="I40" s="259">
        <f t="shared" si="4"/>
        <v>1267935.8067565006</v>
      </c>
      <c r="J40" s="259">
        <f t="shared" si="4"/>
        <v>1281536.4569819239</v>
      </c>
      <c r="K40" s="259">
        <f t="shared" si="4"/>
        <v>1294263.860725835</v>
      </c>
      <c r="L40" s="259">
        <f t="shared" si="4"/>
        <v>1307206.4993330939</v>
      </c>
    </row>
    <row r="41" spans="2:12">
      <c r="B41" s="45"/>
      <c r="C41" s="43"/>
      <c r="D41" s="44"/>
      <c r="E41" s="44"/>
      <c r="F41" s="44"/>
      <c r="G41" s="44"/>
      <c r="H41" s="44"/>
      <c r="I41" s="44"/>
      <c r="J41" s="44"/>
      <c r="K41" s="44"/>
      <c r="L41" s="44"/>
    </row>
    <row r="42" spans="2:12">
      <c r="B42" s="45"/>
      <c r="C42" s="43"/>
      <c r="D42" s="48"/>
      <c r="E42" s="48"/>
      <c r="F42" s="48"/>
      <c r="G42" s="48"/>
      <c r="H42" s="48"/>
      <c r="I42" s="48"/>
      <c r="J42" s="48"/>
      <c r="K42" s="48"/>
      <c r="L42" s="48"/>
    </row>
    <row r="43" spans="2:12" ht="18">
      <c r="B43" s="40" t="s">
        <v>102</v>
      </c>
      <c r="C43" s="251" t="str">
        <f>C21</f>
        <v>Roscas con pisco</v>
      </c>
      <c r="D43" s="251">
        <v>2013</v>
      </c>
      <c r="E43" s="251">
        <v>2014</v>
      </c>
      <c r="F43" s="251">
        <v>2015</v>
      </c>
      <c r="G43" s="251">
        <v>2016</v>
      </c>
      <c r="H43" s="251">
        <v>2017</v>
      </c>
      <c r="I43" s="251">
        <v>2018</v>
      </c>
      <c r="J43" s="251">
        <v>2019</v>
      </c>
      <c r="K43" s="251">
        <v>2020</v>
      </c>
      <c r="L43" s="251">
        <v>2021</v>
      </c>
    </row>
    <row r="44" spans="2:12">
      <c r="B44" s="37"/>
      <c r="C44" s="212" t="s">
        <v>405</v>
      </c>
      <c r="D44" s="258">
        <f>'Plan de producción'!D$41*Formulacion!$L24</f>
        <v>252527.77777777775</v>
      </c>
      <c r="E44" s="258">
        <f>'Plan de producción'!E$41*Formulacion!$L24</f>
        <v>255431.80555555556</v>
      </c>
      <c r="F44" s="258">
        <f>'Plan de producción'!F$41*Formulacion!$L24</f>
        <v>258780.47458333327</v>
      </c>
      <c r="G44" s="258">
        <f>'Plan de producción'!G$41*Formulacion!$L24</f>
        <v>262281.10203187494</v>
      </c>
      <c r="H44" s="258">
        <f>'Plan de producción'!H$41*Formulacion!$L24</f>
        <v>265406.92558063252</v>
      </c>
      <c r="I44" s="258">
        <f>'Plan de producción'!I$41*Formulacion!$L24</f>
        <v>268031.8740414441</v>
      </c>
      <c r="J44" s="258">
        <f>'Plan de producción'!J$41*Formulacion!$L24</f>
        <v>270712.19278185867</v>
      </c>
      <c r="K44" s="258">
        <f>'Plan de producción'!K$41*Formulacion!$L24</f>
        <v>273990.50404222088</v>
      </c>
      <c r="L44" s="258">
        <f>'Plan de producción'!L$41*Formulacion!$L24</f>
        <v>276989.36828846042</v>
      </c>
    </row>
    <row r="45" spans="2:12">
      <c r="B45" s="37"/>
      <c r="C45" s="212" t="s">
        <v>21</v>
      </c>
      <c r="D45" s="258">
        <f>'Plan de producción'!D$41*Formulacion!$L25</f>
        <v>353538.88888888882</v>
      </c>
      <c r="E45" s="258">
        <f>'Plan de producción'!E$41*Formulacion!$L25</f>
        <v>357604.52777777775</v>
      </c>
      <c r="F45" s="258">
        <f>'Plan de producción'!F$41*Formulacion!$L25</f>
        <v>362292.66441666655</v>
      </c>
      <c r="G45" s="258">
        <f>'Plan de producción'!G$41*Formulacion!$L25</f>
        <v>367193.5428446249</v>
      </c>
      <c r="H45" s="258">
        <f>'Plan de producción'!H$41*Formulacion!$L25</f>
        <v>371569.69581288553</v>
      </c>
      <c r="I45" s="258">
        <f>'Plan de producción'!I$41*Formulacion!$L25</f>
        <v>375244.62365802174</v>
      </c>
      <c r="J45" s="258">
        <f>'Plan de producción'!J$41*Formulacion!$L25</f>
        <v>378997.06989460211</v>
      </c>
      <c r="K45" s="258">
        <f>'Plan de producción'!K$41*Formulacion!$L25</f>
        <v>383586.70565910923</v>
      </c>
      <c r="L45" s="258">
        <f>'Plan de producción'!L$41*Formulacion!$L25</f>
        <v>387785.11560384458</v>
      </c>
    </row>
    <row r="46" spans="2:12">
      <c r="B46" s="37"/>
      <c r="C46" s="212" t="s">
        <v>22</v>
      </c>
      <c r="D46" s="258">
        <f>'Plan de producción'!D$41*Formulacion!$L26</f>
        <v>252527.77777777775</v>
      </c>
      <c r="E46" s="258">
        <f>'Plan de producción'!E$41*Formulacion!$L26</f>
        <v>255431.80555555556</v>
      </c>
      <c r="F46" s="258">
        <f>'Plan de producción'!F$41*Formulacion!$L26</f>
        <v>258780.47458333327</v>
      </c>
      <c r="G46" s="258">
        <f>'Plan de producción'!G$41*Formulacion!$L26</f>
        <v>262281.10203187494</v>
      </c>
      <c r="H46" s="258">
        <f>'Plan de producción'!H$41*Formulacion!$L26</f>
        <v>265406.92558063252</v>
      </c>
      <c r="I46" s="258">
        <f>'Plan de producción'!I$41*Formulacion!$L26</f>
        <v>268031.8740414441</v>
      </c>
      <c r="J46" s="258">
        <f>'Plan de producción'!J$41*Formulacion!$L26</f>
        <v>270712.19278185867</v>
      </c>
      <c r="K46" s="258">
        <f>'Plan de producción'!K$41*Formulacion!$L26</f>
        <v>273990.50404222088</v>
      </c>
      <c r="L46" s="258">
        <f>'Plan de producción'!L$41*Formulacion!$L26</f>
        <v>276989.36828846042</v>
      </c>
    </row>
    <row r="47" spans="2:12">
      <c r="B47" s="37"/>
      <c r="C47" s="213" t="s">
        <v>12</v>
      </c>
      <c r="D47" s="259">
        <f>SUM(D44:D46)</f>
        <v>858594.44444444426</v>
      </c>
      <c r="E47" s="259">
        <f t="shared" ref="E47:L47" si="5">SUM(E44:E46)</f>
        <v>868468.13888888876</v>
      </c>
      <c r="F47" s="259">
        <f t="shared" si="5"/>
        <v>879853.61358333309</v>
      </c>
      <c r="G47" s="259">
        <f t="shared" si="5"/>
        <v>891755.74690837483</v>
      </c>
      <c r="H47" s="259">
        <f t="shared" si="5"/>
        <v>902383.54697415058</v>
      </c>
      <c r="I47" s="259">
        <f t="shared" si="5"/>
        <v>911308.37174090999</v>
      </c>
      <c r="J47" s="259">
        <f t="shared" si="5"/>
        <v>920421.45545831951</v>
      </c>
      <c r="K47" s="259">
        <f t="shared" si="5"/>
        <v>931567.71374355105</v>
      </c>
      <c r="L47" s="259">
        <f t="shared" si="5"/>
        <v>941763.85218076548</v>
      </c>
    </row>
    <row r="50" spans="1:12" ht="18">
      <c r="B50" s="211" t="s">
        <v>556</v>
      </c>
    </row>
    <row r="51" spans="1:12">
      <c r="A51" s="244"/>
    </row>
    <row r="53" spans="1:12" ht="18">
      <c r="B53" s="40" t="s">
        <v>94</v>
      </c>
      <c r="C53" s="251" t="str">
        <f>C31</f>
        <v>Tecnico</v>
      </c>
      <c r="D53" s="251">
        <v>2013</v>
      </c>
      <c r="E53" s="251">
        <v>2014</v>
      </c>
      <c r="F53" s="251">
        <v>2015</v>
      </c>
      <c r="G53" s="251">
        <v>2016</v>
      </c>
      <c r="H53" s="251">
        <v>2017</v>
      </c>
      <c r="I53" s="251">
        <v>2018</v>
      </c>
      <c r="J53" s="251">
        <v>2019</v>
      </c>
      <c r="K53" s="251">
        <v>2020</v>
      </c>
      <c r="L53" s="251">
        <v>2021</v>
      </c>
    </row>
    <row r="54" spans="1:12">
      <c r="B54" s="37"/>
      <c r="C54" s="212" t="s">
        <v>405</v>
      </c>
      <c r="D54" s="258">
        <f>IF(D31&gt;D9,D31-D9,0)</f>
        <v>296515.99999999994</v>
      </c>
      <c r="E54" s="258">
        <f t="shared" ref="E54:L54" si="6">IF(E31&gt;E9,E31-E9,0)</f>
        <v>300041.35599999997</v>
      </c>
      <c r="F54" s="258">
        <f t="shared" si="6"/>
        <v>301655.0107799999</v>
      </c>
      <c r="G54" s="258">
        <f t="shared" si="6"/>
        <v>305401.44294779992</v>
      </c>
      <c r="H54" s="258">
        <f t="shared" si="6"/>
        <v>309036.25737727789</v>
      </c>
      <c r="I54" s="258">
        <f t="shared" si="6"/>
        <v>313502.18276380649</v>
      </c>
      <c r="J54" s="258">
        <f t="shared" si="6"/>
        <v>317156.86899046332</v>
      </c>
      <c r="K54" s="258">
        <f t="shared" si="6"/>
        <v>321721.58064654178</v>
      </c>
      <c r="L54" s="258">
        <f t="shared" si="6"/>
        <v>325457.10853253235</v>
      </c>
    </row>
    <row r="55" spans="1:12">
      <c r="B55" s="37"/>
      <c r="C55" s="212" t="s">
        <v>21</v>
      </c>
      <c r="D55" s="258">
        <f t="shared" ref="D55:L56" si="7">IF(D32&gt;D10,D32-D10,0)</f>
        <v>442353.54166666663</v>
      </c>
      <c r="E55" s="258">
        <f t="shared" si="7"/>
        <v>446943.84895833331</v>
      </c>
      <c r="F55" s="258">
        <f t="shared" si="7"/>
        <v>449044.96195312485</v>
      </c>
      <c r="G55" s="258">
        <f t="shared" si="7"/>
        <v>453923.12883828121</v>
      </c>
      <c r="H55" s="258">
        <f t="shared" si="7"/>
        <v>458655.96012666391</v>
      </c>
      <c r="I55" s="258">
        <f t="shared" si="7"/>
        <v>464470.96714037302</v>
      </c>
      <c r="J55" s="258">
        <f t="shared" si="7"/>
        <v>469229.67316466582</v>
      </c>
      <c r="K55" s="258">
        <f t="shared" si="7"/>
        <v>475173.30813351797</v>
      </c>
      <c r="L55" s="258">
        <f t="shared" si="7"/>
        <v>480037.27673506818</v>
      </c>
    </row>
    <row r="56" spans="1:12">
      <c r="B56" s="37"/>
      <c r="C56" s="212" t="s">
        <v>22</v>
      </c>
      <c r="D56" s="258">
        <f t="shared" si="7"/>
        <v>403633.54166666663</v>
      </c>
      <c r="E56" s="258">
        <f t="shared" si="7"/>
        <v>408223.84895833331</v>
      </c>
      <c r="F56" s="258">
        <f t="shared" si="7"/>
        <v>410324.96195312485</v>
      </c>
      <c r="G56" s="258">
        <f t="shared" si="7"/>
        <v>415203.12883828121</v>
      </c>
      <c r="H56" s="258">
        <f t="shared" si="7"/>
        <v>419935.96012666391</v>
      </c>
      <c r="I56" s="258">
        <f t="shared" si="7"/>
        <v>425750.96714037302</v>
      </c>
      <c r="J56" s="258">
        <f t="shared" si="7"/>
        <v>430509.67316466582</v>
      </c>
      <c r="K56" s="258">
        <f t="shared" si="7"/>
        <v>436453.30813351797</v>
      </c>
      <c r="L56" s="258">
        <f t="shared" si="7"/>
        <v>441317.27673506818</v>
      </c>
    </row>
    <row r="57" spans="1:12">
      <c r="B57" s="37"/>
      <c r="C57" s="213" t="s">
        <v>12</v>
      </c>
      <c r="D57" s="259">
        <f>SUM(D54:D56)</f>
        <v>1142503.083333333</v>
      </c>
      <c r="E57" s="259">
        <f t="shared" ref="E57:L57" si="8">SUM(E54:E56)</f>
        <v>1155209.0539166667</v>
      </c>
      <c r="F57" s="259">
        <f t="shared" si="8"/>
        <v>1161024.9346862496</v>
      </c>
      <c r="G57" s="259">
        <f t="shared" si="8"/>
        <v>1174527.7006243623</v>
      </c>
      <c r="H57" s="259">
        <f t="shared" si="8"/>
        <v>1187628.1776306056</v>
      </c>
      <c r="I57" s="259">
        <f t="shared" si="8"/>
        <v>1203724.1170445525</v>
      </c>
      <c r="J57" s="259">
        <f t="shared" si="8"/>
        <v>1216896.2153197951</v>
      </c>
      <c r="K57" s="259">
        <f t="shared" si="8"/>
        <v>1233348.1969135776</v>
      </c>
      <c r="L57" s="259">
        <f t="shared" si="8"/>
        <v>1246811.6620026687</v>
      </c>
    </row>
    <row r="58" spans="1:12">
      <c r="B58" s="45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8">
      <c r="B59" s="40" t="s">
        <v>101</v>
      </c>
      <c r="C59" s="251" t="str">
        <f>C37</f>
        <v>Tecnico</v>
      </c>
      <c r="D59" s="251">
        <v>2013</v>
      </c>
      <c r="E59" s="251">
        <v>2014</v>
      </c>
      <c r="F59" s="251">
        <v>2015</v>
      </c>
      <c r="G59" s="251">
        <v>2016</v>
      </c>
      <c r="H59" s="251">
        <v>2017</v>
      </c>
      <c r="I59" s="251">
        <v>2018</v>
      </c>
      <c r="J59" s="251">
        <v>2019</v>
      </c>
      <c r="K59" s="251">
        <v>2020</v>
      </c>
      <c r="L59" s="251">
        <v>2021</v>
      </c>
    </row>
    <row r="60" spans="1:12">
      <c r="B60" s="45"/>
      <c r="C60" s="212" t="s">
        <v>405</v>
      </c>
      <c r="D60" s="258">
        <f>IF(D37&gt;D15,D37-D15,0)</f>
        <v>257420.69444444438</v>
      </c>
      <c r="E60" s="258">
        <f t="shared" ref="E60:L60" si="9">IF(E37&gt;E15,E37-E15,0)</f>
        <v>260608.00833333324</v>
      </c>
      <c r="F60" s="258">
        <f t="shared" si="9"/>
        <v>263751.18702777778</v>
      </c>
      <c r="G60" s="258">
        <f t="shared" si="9"/>
        <v>266969.49889805552</v>
      </c>
      <c r="H60" s="258">
        <f t="shared" si="9"/>
        <v>270567.37741773966</v>
      </c>
      <c r="I60" s="258">
        <f t="shared" si="9"/>
        <v>275587.31756750017</v>
      </c>
      <c r="J60" s="258">
        <f t="shared" si="9"/>
        <v>279166.43604787474</v>
      </c>
      <c r="K60" s="258">
        <f t="shared" si="9"/>
        <v>282515.7528225882</v>
      </c>
      <c r="L60" s="258">
        <f t="shared" si="9"/>
        <v>285921.71035081416</v>
      </c>
    </row>
    <row r="61" spans="1:12">
      <c r="B61" s="45"/>
      <c r="C61" s="212" t="s">
        <v>21</v>
      </c>
      <c r="D61" s="258">
        <f t="shared" ref="D61:L62" si="10">IF(D38&gt;D16,D38-D16,0)</f>
        <v>422340.97222222213</v>
      </c>
      <c r="E61" s="258">
        <f t="shared" si="10"/>
        <v>426803.2116666665</v>
      </c>
      <c r="F61" s="258">
        <f t="shared" si="10"/>
        <v>431203.66183888889</v>
      </c>
      <c r="G61" s="258">
        <f t="shared" si="10"/>
        <v>435709.29845727771</v>
      </c>
      <c r="H61" s="258">
        <f t="shared" si="10"/>
        <v>440746.32838483551</v>
      </c>
      <c r="I61" s="258">
        <f t="shared" si="10"/>
        <v>447774.24459450023</v>
      </c>
      <c r="J61" s="258">
        <f t="shared" si="10"/>
        <v>452785.01046702458</v>
      </c>
      <c r="K61" s="258">
        <f t="shared" si="10"/>
        <v>457474.05395162344</v>
      </c>
      <c r="L61" s="258">
        <f t="shared" si="10"/>
        <v>462242.3944911398</v>
      </c>
    </row>
    <row r="62" spans="1:12">
      <c r="B62" s="45"/>
      <c r="C62" s="212" t="s">
        <v>22</v>
      </c>
      <c r="D62" s="258">
        <f t="shared" si="10"/>
        <v>383620.97222222213</v>
      </c>
      <c r="E62" s="258">
        <f t="shared" si="10"/>
        <v>388083.2116666665</v>
      </c>
      <c r="F62" s="258">
        <f t="shared" si="10"/>
        <v>392483.66183888889</v>
      </c>
      <c r="G62" s="258">
        <f t="shared" si="10"/>
        <v>396989.29845727771</v>
      </c>
      <c r="H62" s="258">
        <f t="shared" si="10"/>
        <v>402026.32838483551</v>
      </c>
      <c r="I62" s="258">
        <f t="shared" si="10"/>
        <v>409054.24459450023</v>
      </c>
      <c r="J62" s="258">
        <f t="shared" si="10"/>
        <v>414065.01046702458</v>
      </c>
      <c r="K62" s="258">
        <f t="shared" si="10"/>
        <v>418754.05395162344</v>
      </c>
      <c r="L62" s="258">
        <f t="shared" si="10"/>
        <v>423522.3944911398</v>
      </c>
    </row>
    <row r="63" spans="1:12">
      <c r="B63" s="45"/>
      <c r="C63" s="213" t="s">
        <v>12</v>
      </c>
      <c r="D63" s="259">
        <f>SUM(D60:D62)</f>
        <v>1063382.6388888885</v>
      </c>
      <c r="E63" s="259">
        <f t="shared" ref="E63:L63" si="11">SUM(E60:E62)</f>
        <v>1075494.4316666662</v>
      </c>
      <c r="F63" s="259">
        <f t="shared" si="11"/>
        <v>1087438.5107055556</v>
      </c>
      <c r="G63" s="259">
        <f t="shared" si="11"/>
        <v>1099668.0958126108</v>
      </c>
      <c r="H63" s="259">
        <f t="shared" si="11"/>
        <v>1113340.0341874107</v>
      </c>
      <c r="I63" s="259">
        <f t="shared" si="11"/>
        <v>1132415.8067565006</v>
      </c>
      <c r="J63" s="259">
        <f t="shared" si="11"/>
        <v>1146016.4569819239</v>
      </c>
      <c r="K63" s="259">
        <f t="shared" si="11"/>
        <v>1158743.860725835</v>
      </c>
      <c r="L63" s="259">
        <f t="shared" si="11"/>
        <v>1171686.4993330939</v>
      </c>
    </row>
    <row r="64" spans="1:12">
      <c r="B64" s="45"/>
      <c r="C64" s="43"/>
      <c r="D64" s="44"/>
      <c r="E64" s="44"/>
      <c r="F64" s="44"/>
      <c r="G64" s="44"/>
      <c r="H64" s="44"/>
      <c r="I64" s="44"/>
      <c r="J64" s="44"/>
      <c r="K64" s="44"/>
      <c r="L64" s="44"/>
    </row>
    <row r="65" spans="2:12">
      <c r="B65" s="45"/>
      <c r="C65" s="43"/>
      <c r="D65" s="48"/>
      <c r="E65" s="48"/>
      <c r="F65" s="48"/>
      <c r="G65" s="48"/>
      <c r="H65" s="48"/>
      <c r="I65" s="48"/>
      <c r="J65" s="48"/>
      <c r="K65" s="48"/>
      <c r="L65" s="48"/>
    </row>
    <row r="66" spans="2:12" ht="18">
      <c r="B66" s="40" t="s">
        <v>102</v>
      </c>
      <c r="C66" s="251" t="str">
        <f>C44</f>
        <v>Tecnico</v>
      </c>
      <c r="D66" s="251">
        <v>2013</v>
      </c>
      <c r="E66" s="251">
        <v>2014</v>
      </c>
      <c r="F66" s="251">
        <v>2015</v>
      </c>
      <c r="G66" s="251">
        <v>2016</v>
      </c>
      <c r="H66" s="251">
        <v>2017</v>
      </c>
      <c r="I66" s="251">
        <v>2018</v>
      </c>
      <c r="J66" s="251">
        <v>2019</v>
      </c>
      <c r="K66" s="251">
        <v>2020</v>
      </c>
      <c r="L66" s="251">
        <v>2021</v>
      </c>
    </row>
    <row r="67" spans="2:12">
      <c r="B67" s="37"/>
      <c r="C67" s="212" t="s">
        <v>405</v>
      </c>
      <c r="D67" s="258">
        <f>IF(D44&gt;D22,D44-D22,0)</f>
        <v>194447.77777777775</v>
      </c>
      <c r="E67" s="258">
        <f t="shared" ref="E67:L67" si="12">IF(E44&gt;E22,E44-E22,0)</f>
        <v>197351.80555555556</v>
      </c>
      <c r="F67" s="258">
        <f t="shared" si="12"/>
        <v>200700.47458333327</v>
      </c>
      <c r="G67" s="258">
        <f t="shared" si="12"/>
        <v>204201.10203187494</v>
      </c>
      <c r="H67" s="258">
        <f t="shared" si="12"/>
        <v>207326.92558063252</v>
      </c>
      <c r="I67" s="258">
        <f t="shared" si="12"/>
        <v>209951.8740414441</v>
      </c>
      <c r="J67" s="258">
        <f t="shared" si="12"/>
        <v>212632.19278185867</v>
      </c>
      <c r="K67" s="258">
        <f t="shared" si="12"/>
        <v>215910.50404222088</v>
      </c>
      <c r="L67" s="258">
        <f t="shared" si="12"/>
        <v>218909.36828846042</v>
      </c>
    </row>
    <row r="68" spans="2:12">
      <c r="B68" s="37"/>
      <c r="C68" s="212" t="s">
        <v>21</v>
      </c>
      <c r="D68" s="258">
        <f t="shared" ref="D68:L69" si="13">IF(D45&gt;D23,D45-D23,0)</f>
        <v>334178.88888888882</v>
      </c>
      <c r="E68" s="258">
        <f t="shared" si="13"/>
        <v>338244.52777777775</v>
      </c>
      <c r="F68" s="258">
        <f t="shared" si="13"/>
        <v>342932.66441666655</v>
      </c>
      <c r="G68" s="258">
        <f t="shared" si="13"/>
        <v>347833.5428446249</v>
      </c>
      <c r="H68" s="258">
        <f t="shared" si="13"/>
        <v>352209.69581288553</v>
      </c>
      <c r="I68" s="258">
        <f t="shared" si="13"/>
        <v>355884.62365802174</v>
      </c>
      <c r="J68" s="258">
        <f t="shared" si="13"/>
        <v>359637.06989460211</v>
      </c>
      <c r="K68" s="258">
        <f t="shared" si="13"/>
        <v>364226.70565910923</v>
      </c>
      <c r="L68" s="258">
        <f t="shared" si="13"/>
        <v>368425.11560384458</v>
      </c>
    </row>
    <row r="69" spans="2:12">
      <c r="B69" s="37"/>
      <c r="C69" s="212" t="s">
        <v>22</v>
      </c>
      <c r="D69" s="258">
        <f t="shared" si="13"/>
        <v>194447.77777777775</v>
      </c>
      <c r="E69" s="258">
        <f t="shared" si="13"/>
        <v>197351.80555555556</v>
      </c>
      <c r="F69" s="258">
        <f t="shared" si="13"/>
        <v>200700.47458333327</v>
      </c>
      <c r="G69" s="258">
        <f t="shared" si="13"/>
        <v>204201.10203187494</v>
      </c>
      <c r="H69" s="258">
        <f t="shared" si="13"/>
        <v>207326.92558063252</v>
      </c>
      <c r="I69" s="258">
        <f t="shared" si="13"/>
        <v>209951.8740414441</v>
      </c>
      <c r="J69" s="258">
        <f t="shared" si="13"/>
        <v>212632.19278185867</v>
      </c>
      <c r="K69" s="258">
        <f t="shared" si="13"/>
        <v>215910.50404222088</v>
      </c>
      <c r="L69" s="258">
        <f t="shared" si="13"/>
        <v>218909.36828846042</v>
      </c>
    </row>
    <row r="70" spans="2:12">
      <c r="B70" s="37"/>
      <c r="C70" s="213" t="s">
        <v>12</v>
      </c>
      <c r="D70" s="259">
        <f>SUM(D67:D69)</f>
        <v>723074.44444444426</v>
      </c>
      <c r="E70" s="259">
        <f t="shared" ref="E70:L70" si="14">SUM(E67:E69)</f>
        <v>732948.13888888876</v>
      </c>
      <c r="F70" s="259">
        <f t="shared" si="14"/>
        <v>744333.61358333309</v>
      </c>
      <c r="G70" s="259">
        <f t="shared" si="14"/>
        <v>756235.74690837483</v>
      </c>
      <c r="H70" s="259">
        <f t="shared" si="14"/>
        <v>766863.54697415058</v>
      </c>
      <c r="I70" s="259">
        <f t="shared" si="14"/>
        <v>775788.37174090999</v>
      </c>
      <c r="J70" s="259">
        <f t="shared" si="14"/>
        <v>784901.45545831951</v>
      </c>
      <c r="K70" s="259">
        <f t="shared" si="14"/>
        <v>796047.71374355105</v>
      </c>
      <c r="L70" s="259">
        <f t="shared" si="14"/>
        <v>806243.85218076548</v>
      </c>
    </row>
    <row r="73" spans="2:12" ht="18">
      <c r="B73" s="211" t="s">
        <v>557</v>
      </c>
    </row>
    <row r="76" spans="2:12" ht="18">
      <c r="B76" s="40" t="s">
        <v>94</v>
      </c>
      <c r="C76" s="251" t="str">
        <f>C54</f>
        <v>Tecnico</v>
      </c>
      <c r="D76" s="251">
        <v>2013</v>
      </c>
      <c r="E76" s="251">
        <v>2014</v>
      </c>
      <c r="F76" s="251">
        <v>2015</v>
      </c>
      <c r="G76" s="251">
        <v>2016</v>
      </c>
      <c r="H76" s="251">
        <v>2017</v>
      </c>
      <c r="I76" s="251">
        <v>2018</v>
      </c>
      <c r="J76" s="251">
        <v>2019</v>
      </c>
      <c r="K76" s="251">
        <v>2020</v>
      </c>
      <c r="L76" s="251">
        <v>2021</v>
      </c>
    </row>
    <row r="77" spans="2:12">
      <c r="B77" s="37"/>
      <c r="C77" s="212" t="s">
        <v>405</v>
      </c>
      <c r="D77" s="258">
        <f>D54*Parametros!$E34</f>
        <v>2668643.9999999995</v>
      </c>
      <c r="E77" s="258">
        <f>E54*Parametros!$E34</f>
        <v>2700372.2039999999</v>
      </c>
      <c r="F77" s="258">
        <f>F54*Parametros!$E34</f>
        <v>2714895.0970199993</v>
      </c>
      <c r="G77" s="258">
        <f>G54*Parametros!$E34</f>
        <v>2748612.9865301992</v>
      </c>
      <c r="H77" s="258">
        <f>H54*Parametros!$E34</f>
        <v>2781326.3163955011</v>
      </c>
      <c r="I77" s="258">
        <f>I54*Parametros!$E34</f>
        <v>2821519.6448742584</v>
      </c>
      <c r="J77" s="258">
        <f>J54*Parametros!$E34</f>
        <v>2854411.8209141698</v>
      </c>
      <c r="K77" s="258">
        <f>K54*Parametros!$E34</f>
        <v>2895494.2258188762</v>
      </c>
      <c r="L77" s="258">
        <f>L54*Parametros!$E34</f>
        <v>2929113.9767927909</v>
      </c>
    </row>
    <row r="78" spans="2:12">
      <c r="B78" s="37"/>
      <c r="C78" s="212" t="s">
        <v>21</v>
      </c>
      <c r="D78" s="258">
        <f>D55*Parametros!$E35</f>
        <v>4423535.416666666</v>
      </c>
      <c r="E78" s="258">
        <f>E55*Parametros!$E35</f>
        <v>4469438.489583333</v>
      </c>
      <c r="F78" s="258">
        <f>F55*Parametros!$E35</f>
        <v>4490449.6195312487</v>
      </c>
      <c r="G78" s="258">
        <f>G55*Parametros!$E35</f>
        <v>4539231.2883828124</v>
      </c>
      <c r="H78" s="258">
        <f>H55*Parametros!$E35</f>
        <v>4586559.6012666393</v>
      </c>
      <c r="I78" s="258">
        <f>I55*Parametros!$E35</f>
        <v>4644709.6714037303</v>
      </c>
      <c r="J78" s="258">
        <f>J55*Parametros!$E35</f>
        <v>4692296.7316466579</v>
      </c>
      <c r="K78" s="258">
        <f>K55*Parametros!$E35</f>
        <v>4751733.0813351795</v>
      </c>
      <c r="L78" s="258">
        <f>L55*Parametros!$E35</f>
        <v>4800372.7673506821</v>
      </c>
    </row>
    <row r="79" spans="2:12">
      <c r="B79" s="37"/>
      <c r="C79" s="212" t="s">
        <v>22</v>
      </c>
      <c r="D79" s="258">
        <f>D56*Parametros!$E36</f>
        <v>3229068.333333333</v>
      </c>
      <c r="E79" s="258">
        <f>E56*Parametros!$E36</f>
        <v>3265790.7916666665</v>
      </c>
      <c r="F79" s="258">
        <f>F56*Parametros!$E36</f>
        <v>3282599.6956249988</v>
      </c>
      <c r="G79" s="258">
        <f>G56*Parametros!$E36</f>
        <v>3321625.0307062496</v>
      </c>
      <c r="H79" s="258">
        <f>H56*Parametros!$E36</f>
        <v>3359487.6810133113</v>
      </c>
      <c r="I79" s="258">
        <f>I56*Parametros!$E36</f>
        <v>3406007.7371229841</v>
      </c>
      <c r="J79" s="258">
        <f>J56*Parametros!$E36</f>
        <v>3444077.3853173265</v>
      </c>
      <c r="K79" s="258">
        <f>K56*Parametros!$E36</f>
        <v>3491626.4650681438</v>
      </c>
      <c r="L79" s="258">
        <f>L56*Parametros!$E36</f>
        <v>3530538.2138805455</v>
      </c>
    </row>
    <row r="80" spans="2:12">
      <c r="B80" s="37"/>
      <c r="C80" s="213" t="s">
        <v>12</v>
      </c>
      <c r="D80" s="259">
        <f>SUM(D77:D79)</f>
        <v>10321247.75</v>
      </c>
      <c r="E80" s="259">
        <f t="shared" ref="E80:L80" si="15">SUM(E77:E79)</f>
        <v>10435601.48525</v>
      </c>
      <c r="F80" s="259">
        <f t="shared" si="15"/>
        <v>10487944.412176248</v>
      </c>
      <c r="G80" s="259">
        <f t="shared" si="15"/>
        <v>10609469.30561926</v>
      </c>
      <c r="H80" s="259">
        <f t="shared" si="15"/>
        <v>10727373.598675452</v>
      </c>
      <c r="I80" s="259">
        <f t="shared" si="15"/>
        <v>10872237.053400973</v>
      </c>
      <c r="J80" s="259">
        <f t="shared" si="15"/>
        <v>10990785.937878154</v>
      </c>
      <c r="K80" s="259">
        <f t="shared" si="15"/>
        <v>11138853.772222199</v>
      </c>
      <c r="L80" s="259">
        <f t="shared" si="15"/>
        <v>11260024.958024018</v>
      </c>
    </row>
    <row r="81" spans="2:12">
      <c r="B81" s="45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2:12" ht="18">
      <c r="B82" s="40" t="s">
        <v>101</v>
      </c>
      <c r="C82" s="251" t="str">
        <f>C60</f>
        <v>Tecnico</v>
      </c>
      <c r="D82" s="251">
        <v>2013</v>
      </c>
      <c r="E82" s="251">
        <v>2014</v>
      </c>
      <c r="F82" s="251">
        <v>2015</v>
      </c>
      <c r="G82" s="251">
        <v>2016</v>
      </c>
      <c r="H82" s="251">
        <v>2017</v>
      </c>
      <c r="I82" s="251">
        <v>2018</v>
      </c>
      <c r="J82" s="251">
        <v>2019</v>
      </c>
      <c r="K82" s="251">
        <v>2020</v>
      </c>
      <c r="L82" s="251">
        <v>2021</v>
      </c>
    </row>
    <row r="83" spans="2:12">
      <c r="B83" s="45"/>
      <c r="C83" s="212" t="s">
        <v>405</v>
      </c>
      <c r="D83" s="258">
        <f>D60*Parametros!$E34</f>
        <v>2316786.2499999995</v>
      </c>
      <c r="E83" s="258">
        <f>E60*Parametros!$E34</f>
        <v>2345472.0749999993</v>
      </c>
      <c r="F83" s="258">
        <f>F60*Parametros!$E34</f>
        <v>2373760.6832499998</v>
      </c>
      <c r="G83" s="258">
        <f>G60*Parametros!$E34</f>
        <v>2402725.4900824996</v>
      </c>
      <c r="H83" s="258">
        <f>H60*Parametros!$E34</f>
        <v>2435106.3967596567</v>
      </c>
      <c r="I83" s="258">
        <f>I60*Parametros!$E34</f>
        <v>2480285.8581075016</v>
      </c>
      <c r="J83" s="258">
        <f>J60*Parametros!$E34</f>
        <v>2512497.9244308728</v>
      </c>
      <c r="K83" s="258">
        <f>K60*Parametros!$E34</f>
        <v>2542641.7754032938</v>
      </c>
      <c r="L83" s="258">
        <f>L60*Parametros!$E34</f>
        <v>2573295.3931573275</v>
      </c>
    </row>
    <row r="84" spans="2:12">
      <c r="B84" s="45"/>
      <c r="C84" s="212" t="s">
        <v>21</v>
      </c>
      <c r="D84" s="258">
        <f>D61*Parametros!$E35</f>
        <v>4223409.7222222211</v>
      </c>
      <c r="E84" s="258">
        <f>E61*Parametros!$E35</f>
        <v>4268032.1166666653</v>
      </c>
      <c r="F84" s="258">
        <f>F61*Parametros!$E35</f>
        <v>4312036.6183888894</v>
      </c>
      <c r="G84" s="258">
        <f>G61*Parametros!$E35</f>
        <v>4357092.9845727775</v>
      </c>
      <c r="H84" s="258">
        <f>H61*Parametros!$E35</f>
        <v>4407463.2838483546</v>
      </c>
      <c r="I84" s="258">
        <f>I61*Parametros!$E35</f>
        <v>4477742.4459450021</v>
      </c>
      <c r="J84" s="258">
        <f>J61*Parametros!$E35</f>
        <v>4527850.1046702461</v>
      </c>
      <c r="K84" s="258">
        <f>K61*Parametros!$E35</f>
        <v>4574740.5395162348</v>
      </c>
      <c r="L84" s="258">
        <f>L61*Parametros!$E35</f>
        <v>4622423.944911398</v>
      </c>
    </row>
    <row r="85" spans="2:12">
      <c r="B85" s="45"/>
      <c r="C85" s="212" t="s">
        <v>22</v>
      </c>
      <c r="D85" s="258">
        <f>D62*Parametros!$E36</f>
        <v>3068967.7777777771</v>
      </c>
      <c r="E85" s="258">
        <f>E62*Parametros!$E36</f>
        <v>3104665.693333332</v>
      </c>
      <c r="F85" s="258">
        <f>F62*Parametros!$E36</f>
        <v>3139869.2947111111</v>
      </c>
      <c r="G85" s="258">
        <f>G62*Parametros!$E36</f>
        <v>3175914.3876582216</v>
      </c>
      <c r="H85" s="258">
        <f>H62*Parametros!$E36</f>
        <v>3216210.627078684</v>
      </c>
      <c r="I85" s="258">
        <f>I62*Parametros!$E36</f>
        <v>3272433.9567560018</v>
      </c>
      <c r="J85" s="258">
        <f>J62*Parametros!$E36</f>
        <v>3312520.0837361966</v>
      </c>
      <c r="K85" s="258">
        <f>K62*Parametros!$E36</f>
        <v>3350032.4316129875</v>
      </c>
      <c r="L85" s="258">
        <f>L62*Parametros!$E36</f>
        <v>3388179.1559291184</v>
      </c>
    </row>
    <row r="86" spans="2:12">
      <c r="B86" s="45"/>
      <c r="C86" s="213" t="s">
        <v>12</v>
      </c>
      <c r="D86" s="259">
        <f>SUM(D83:D85)</f>
        <v>9609163.7499999963</v>
      </c>
      <c r="E86" s="259">
        <f t="shared" ref="E86:L86" si="16">SUM(E83:E85)</f>
        <v>9718169.8849999961</v>
      </c>
      <c r="F86" s="259">
        <f t="shared" si="16"/>
        <v>9825666.5963499993</v>
      </c>
      <c r="G86" s="259">
        <f t="shared" si="16"/>
        <v>9935732.8623134978</v>
      </c>
      <c r="H86" s="259">
        <f t="shared" si="16"/>
        <v>10058780.307686696</v>
      </c>
      <c r="I86" s="259">
        <f t="shared" si="16"/>
        <v>10230462.260808505</v>
      </c>
      <c r="J86" s="259">
        <f t="shared" si="16"/>
        <v>10352868.112837315</v>
      </c>
      <c r="K86" s="259">
        <f t="shared" si="16"/>
        <v>10467414.746532517</v>
      </c>
      <c r="L86" s="259">
        <f t="shared" si="16"/>
        <v>10583898.493997844</v>
      </c>
    </row>
    <row r="87" spans="2:12">
      <c r="B87" s="45"/>
      <c r="C87" s="43"/>
      <c r="D87" s="44"/>
      <c r="E87" s="44"/>
      <c r="F87" s="44"/>
      <c r="G87" s="44"/>
      <c r="H87" s="44"/>
      <c r="I87" s="44"/>
      <c r="J87" s="44"/>
      <c r="K87" s="44"/>
      <c r="L87" s="44"/>
    </row>
    <row r="88" spans="2:12">
      <c r="B88" s="45"/>
      <c r="C88" s="43"/>
      <c r="D88" s="48"/>
      <c r="E88" s="48"/>
      <c r="F88" s="48"/>
      <c r="G88" s="48"/>
      <c r="H88" s="48"/>
      <c r="I88" s="48"/>
      <c r="J88" s="48"/>
      <c r="K88" s="48"/>
      <c r="L88" s="48"/>
    </row>
    <row r="89" spans="2:12" ht="18">
      <c r="B89" s="40" t="s">
        <v>102</v>
      </c>
      <c r="C89" s="251" t="str">
        <f>C67</f>
        <v>Tecnico</v>
      </c>
      <c r="D89" s="251">
        <v>2013</v>
      </c>
      <c r="E89" s="251">
        <v>2014</v>
      </c>
      <c r="F89" s="251">
        <v>2015</v>
      </c>
      <c r="G89" s="251">
        <v>2016</v>
      </c>
      <c r="H89" s="251">
        <v>2017</v>
      </c>
      <c r="I89" s="251">
        <v>2018</v>
      </c>
      <c r="J89" s="251">
        <v>2019</v>
      </c>
      <c r="K89" s="251">
        <v>2020</v>
      </c>
      <c r="L89" s="251">
        <v>2021</v>
      </c>
    </row>
    <row r="90" spans="2:12">
      <c r="B90" s="37"/>
      <c r="C90" s="212" t="s">
        <v>405</v>
      </c>
      <c r="D90" s="258">
        <f>D67*Parametros!$E34</f>
        <v>1750029.9999999998</v>
      </c>
      <c r="E90" s="258">
        <f>E67*Parametros!$E34</f>
        <v>1776166.25</v>
      </c>
      <c r="F90" s="258">
        <f>F67*Parametros!$E34</f>
        <v>1806304.2712499995</v>
      </c>
      <c r="G90" s="258">
        <f>G67*Parametros!$E34</f>
        <v>1837809.9182868744</v>
      </c>
      <c r="H90" s="258">
        <f>H67*Parametros!$E34</f>
        <v>1865942.3302256926</v>
      </c>
      <c r="I90" s="258">
        <f>I67*Parametros!$E34</f>
        <v>1889566.8663729969</v>
      </c>
      <c r="J90" s="258">
        <f>J67*Parametros!$E34</f>
        <v>1913689.735036728</v>
      </c>
      <c r="K90" s="258">
        <f>K67*Parametros!$E34</f>
        <v>1943194.5363799878</v>
      </c>
      <c r="L90" s="258">
        <f>L67*Parametros!$E34</f>
        <v>1970184.3145961438</v>
      </c>
    </row>
    <row r="91" spans="2:12">
      <c r="B91" s="37"/>
      <c r="C91" s="212" t="s">
        <v>21</v>
      </c>
      <c r="D91" s="258">
        <f>D68*Parametros!$E35</f>
        <v>3341788.8888888881</v>
      </c>
      <c r="E91" s="258">
        <f>E68*Parametros!$E35</f>
        <v>3382445.2777777775</v>
      </c>
      <c r="F91" s="258">
        <f>F68*Parametros!$E35</f>
        <v>3429326.6441666656</v>
      </c>
      <c r="G91" s="258">
        <f>G68*Parametros!$E35</f>
        <v>3478335.4284462491</v>
      </c>
      <c r="H91" s="258">
        <f>H68*Parametros!$E35</f>
        <v>3522096.9581288556</v>
      </c>
      <c r="I91" s="258">
        <f>I68*Parametros!$E35</f>
        <v>3558846.2365802173</v>
      </c>
      <c r="J91" s="258">
        <f>J68*Parametros!$E35</f>
        <v>3596370.698946021</v>
      </c>
      <c r="K91" s="258">
        <f>K68*Parametros!$E35</f>
        <v>3642267.0565910921</v>
      </c>
      <c r="L91" s="258">
        <f>L68*Parametros!$E35</f>
        <v>3684251.1560384459</v>
      </c>
    </row>
    <row r="92" spans="2:12">
      <c r="B92" s="37"/>
      <c r="C92" s="212" t="s">
        <v>22</v>
      </c>
      <c r="D92" s="258">
        <f>D69*Parametros!$E36</f>
        <v>1555582.222222222</v>
      </c>
      <c r="E92" s="258">
        <f>E69*Parametros!$E36</f>
        <v>1578814.4444444445</v>
      </c>
      <c r="F92" s="258">
        <f>F69*Parametros!$E36</f>
        <v>1605603.7966666662</v>
      </c>
      <c r="G92" s="258">
        <f>G69*Parametros!$E36</f>
        <v>1633608.8162549995</v>
      </c>
      <c r="H92" s="258">
        <f>H69*Parametros!$E36</f>
        <v>1658615.4046450602</v>
      </c>
      <c r="I92" s="258">
        <f>I69*Parametros!$E36</f>
        <v>1679614.9923315528</v>
      </c>
      <c r="J92" s="258">
        <f>J69*Parametros!$E36</f>
        <v>1701057.5422548694</v>
      </c>
      <c r="K92" s="258">
        <f>K69*Parametros!$E36</f>
        <v>1727284.0323377671</v>
      </c>
      <c r="L92" s="258">
        <f>L69*Parametros!$E36</f>
        <v>1751274.9463076834</v>
      </c>
    </row>
    <row r="93" spans="2:12">
      <c r="B93" s="37"/>
      <c r="C93" s="213" t="s">
        <v>12</v>
      </c>
      <c r="D93" s="259">
        <f>SUM(D90:D92)</f>
        <v>6647401.1111111101</v>
      </c>
      <c r="E93" s="259">
        <f t="shared" ref="E93:L93" si="17">SUM(E90:E92)</f>
        <v>6737425.972222222</v>
      </c>
      <c r="F93" s="259">
        <f t="shared" si="17"/>
        <v>6841234.7120833313</v>
      </c>
      <c r="G93" s="259">
        <f t="shared" si="17"/>
        <v>6949754.1629881226</v>
      </c>
      <c r="H93" s="259">
        <f t="shared" si="17"/>
        <v>7046654.6929996079</v>
      </c>
      <c r="I93" s="259">
        <f t="shared" si="17"/>
        <v>7128028.0952847674</v>
      </c>
      <c r="J93" s="259">
        <f t="shared" si="17"/>
        <v>7211117.9762376174</v>
      </c>
      <c r="K93" s="259">
        <f t="shared" si="17"/>
        <v>7312745.6253088471</v>
      </c>
      <c r="L93" s="259">
        <f t="shared" si="17"/>
        <v>7405710.4169422733</v>
      </c>
    </row>
    <row r="96" spans="2:12" ht="18">
      <c r="B96" s="211" t="s">
        <v>558</v>
      </c>
    </row>
    <row r="99" spans="2:12" ht="18">
      <c r="B99" s="40" t="s">
        <v>94</v>
      </c>
      <c r="C99" s="251" t="str">
        <f>C77</f>
        <v>Tecnico</v>
      </c>
      <c r="D99" s="251">
        <v>2013</v>
      </c>
      <c r="E99" s="251">
        <v>2014</v>
      </c>
      <c r="F99" s="251">
        <v>2015</v>
      </c>
      <c r="G99" s="251">
        <v>2016</v>
      </c>
      <c r="H99" s="251">
        <v>2017</v>
      </c>
      <c r="I99" s="251">
        <v>2018</v>
      </c>
      <c r="J99" s="251">
        <v>2019</v>
      </c>
      <c r="K99" s="251">
        <v>2020</v>
      </c>
      <c r="L99" s="251">
        <v>2021</v>
      </c>
    </row>
    <row r="100" spans="2:12">
      <c r="B100" s="37"/>
      <c r="C100" s="212" t="s">
        <v>405</v>
      </c>
      <c r="D100" s="258">
        <f>(D9*Parametros!$E34)*(1+Variables!C$19)*(1+Parametros!$C$90)</f>
        <v>765523.44</v>
      </c>
      <c r="E100" s="258">
        <f>D100*(1+Variables!D$19)</f>
        <v>773178.6743999999</v>
      </c>
      <c r="F100" s="258">
        <f>E100*(1+Variables!E$19)</f>
        <v>780910.46114399994</v>
      </c>
      <c r="G100" s="258">
        <f>F100*(1+Variables!F$19)</f>
        <v>796528.6703668799</v>
      </c>
      <c r="H100" s="258">
        <f>G100*(1+Variables!G$19)</f>
        <v>808476.60042238305</v>
      </c>
      <c r="I100" s="258">
        <f>H100*(1+Variables!H$19)</f>
        <v>816561.3664266069</v>
      </c>
      <c r="J100" s="258">
        <f>I100*(1+Variables!I$19)</f>
        <v>841058.20741940511</v>
      </c>
      <c r="K100" s="258">
        <f>J100*(1+Variables!J$19)</f>
        <v>849468.78949359921</v>
      </c>
      <c r="L100" s="258">
        <f>K100*(1+Variables!K$19)</f>
        <v>853716.13344106707</v>
      </c>
    </row>
    <row r="101" spans="2:12">
      <c r="B101" s="37"/>
      <c r="C101" s="212" t="s">
        <v>21</v>
      </c>
      <c r="D101" s="258">
        <f>(D10*Parametros!$E35)*(1+Variables!C$19)*(1+Parametros!$C$90)</f>
        <v>283527.2</v>
      </c>
      <c r="E101" s="258">
        <f>D101*(1+Variables!D$19)</f>
        <v>286362.47200000001</v>
      </c>
      <c r="F101" s="258">
        <f>E101*(1+Variables!E$19)</f>
        <v>289226.09672000003</v>
      </c>
      <c r="G101" s="258">
        <f>F101*(1+Variables!F$19)</f>
        <v>295010.61865440005</v>
      </c>
      <c r="H101" s="258">
        <f>G101*(1+Variables!G$19)</f>
        <v>299435.77793421602</v>
      </c>
      <c r="I101" s="258">
        <f>H101*(1+Variables!H$19)</f>
        <v>302430.13571355818</v>
      </c>
      <c r="J101" s="258">
        <f>I101*(1+Variables!I$19)</f>
        <v>311503.03978496493</v>
      </c>
      <c r="K101" s="258">
        <f>J101*(1+Variables!J$19)</f>
        <v>314618.07018281455</v>
      </c>
      <c r="L101" s="258">
        <f>K101*(1+Variables!K$19)</f>
        <v>316191.1605337286</v>
      </c>
    </row>
    <row r="102" spans="2:12">
      <c r="B102" s="37"/>
      <c r="C102" s="212" t="s">
        <v>22</v>
      </c>
      <c r="D102" s="258">
        <f>(D11*Parametros!$E36)*(1+Variables!C$19)*(1+Parametros!$C$90)</f>
        <v>680465.28</v>
      </c>
      <c r="E102" s="258">
        <f>D102*(1+Variables!D$19)</f>
        <v>687269.93280000007</v>
      </c>
      <c r="F102" s="258">
        <f>E102*(1+Variables!E$19)</f>
        <v>694142.63212800003</v>
      </c>
      <c r="G102" s="258">
        <f>F102*(1+Variables!F$19)</f>
        <v>708025.48477056006</v>
      </c>
      <c r="H102" s="258">
        <f>G102*(1+Variables!G$19)</f>
        <v>718645.86704211833</v>
      </c>
      <c r="I102" s="258">
        <f>H102*(1+Variables!H$19)</f>
        <v>725832.32571253949</v>
      </c>
      <c r="J102" s="258">
        <f>I102*(1+Variables!I$19)</f>
        <v>747607.29548391572</v>
      </c>
      <c r="K102" s="258">
        <f>J102*(1+Variables!J$19)</f>
        <v>755083.36843875493</v>
      </c>
      <c r="L102" s="258">
        <f>K102*(1+Variables!K$19)</f>
        <v>758858.78528094862</v>
      </c>
    </row>
    <row r="103" spans="2:12">
      <c r="B103" s="37"/>
      <c r="C103" s="213" t="s">
        <v>12</v>
      </c>
      <c r="D103" s="259">
        <f>SUM(D100:D102)</f>
        <v>1729515.92</v>
      </c>
      <c r="E103" s="259">
        <f t="shared" ref="E103:L103" si="18">SUM(E100:E102)</f>
        <v>1746811.0792</v>
      </c>
      <c r="F103" s="259">
        <f t="shared" si="18"/>
        <v>1764279.1899920001</v>
      </c>
      <c r="G103" s="259">
        <f t="shared" si="18"/>
        <v>1799564.7737918398</v>
      </c>
      <c r="H103" s="259">
        <f t="shared" si="18"/>
        <v>1826558.2453987175</v>
      </c>
      <c r="I103" s="259">
        <f t="shared" si="18"/>
        <v>1844823.8278527046</v>
      </c>
      <c r="J103" s="259">
        <f t="shared" si="18"/>
        <v>1900168.5426882859</v>
      </c>
      <c r="K103" s="259">
        <f t="shared" si="18"/>
        <v>1919170.2281151686</v>
      </c>
      <c r="L103" s="259">
        <f t="shared" si="18"/>
        <v>1928766.0792557443</v>
      </c>
    </row>
    <row r="104" spans="2:12">
      <c r="B104" s="45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2:12" ht="18">
      <c r="B105" s="40" t="s">
        <v>101</v>
      </c>
      <c r="C105" s="251" t="str">
        <f>C83</f>
        <v>Tecnico</v>
      </c>
      <c r="D105" s="251">
        <v>2013</v>
      </c>
      <c r="E105" s="251">
        <v>2014</v>
      </c>
      <c r="F105" s="251">
        <v>2015</v>
      </c>
      <c r="G105" s="251">
        <v>2016</v>
      </c>
      <c r="H105" s="251">
        <v>2017</v>
      </c>
      <c r="I105" s="251">
        <v>2018</v>
      </c>
      <c r="J105" s="251">
        <v>2019</v>
      </c>
      <c r="K105" s="251">
        <v>2020</v>
      </c>
      <c r="L105" s="251">
        <v>2021</v>
      </c>
    </row>
    <row r="106" spans="2:12">
      <c r="B106" s="45"/>
      <c r="C106" s="212" t="s">
        <v>405</v>
      </c>
      <c r="D106" s="258">
        <f>(D15*Parametros!$E34)*(1+Variables!C$19)*(1+Parametros!$C$90)</f>
        <v>765523.44</v>
      </c>
      <c r="E106" s="258">
        <f>D106*(1+Variables!D$19)</f>
        <v>773178.6743999999</v>
      </c>
      <c r="F106" s="258">
        <f>E106*(1+Variables!E$19)</f>
        <v>780910.46114399994</v>
      </c>
      <c r="G106" s="258">
        <f>F106*(1+Variables!F$19)</f>
        <v>796528.6703668799</v>
      </c>
      <c r="H106" s="258">
        <f>G106*(1+Variables!G$19)</f>
        <v>808476.60042238305</v>
      </c>
      <c r="I106" s="258">
        <f>H106*(1+Variables!H$19)</f>
        <v>816561.3664266069</v>
      </c>
      <c r="J106" s="258">
        <f>I106*(1+Variables!I$19)</f>
        <v>841058.20741940511</v>
      </c>
      <c r="K106" s="258">
        <f>J106*(1+Variables!J$19)</f>
        <v>849468.78949359921</v>
      </c>
      <c r="L106" s="258">
        <f>K106*(1+Variables!K$19)</f>
        <v>853716.13344106707</v>
      </c>
    </row>
    <row r="107" spans="2:12">
      <c r="B107" s="45"/>
      <c r="C107" s="212" t="s">
        <v>21</v>
      </c>
      <c r="D107" s="258">
        <f>(D16*Parametros!$E35)*(1+Variables!C$19)*(1+Parametros!$C$90)</f>
        <v>283527.2</v>
      </c>
      <c r="E107" s="258">
        <f>D107*(1+Variables!D$19)</f>
        <v>286362.47200000001</v>
      </c>
      <c r="F107" s="258">
        <f>E107*(1+Variables!E$19)</f>
        <v>289226.09672000003</v>
      </c>
      <c r="G107" s="258">
        <f>F107*(1+Variables!F$19)</f>
        <v>295010.61865440005</v>
      </c>
      <c r="H107" s="258">
        <f>G107*(1+Variables!G$19)</f>
        <v>299435.77793421602</v>
      </c>
      <c r="I107" s="258">
        <f>H107*(1+Variables!H$19)</f>
        <v>302430.13571355818</v>
      </c>
      <c r="J107" s="258">
        <f>I107*(1+Variables!I$19)</f>
        <v>311503.03978496493</v>
      </c>
      <c r="K107" s="258">
        <f>J107*(1+Variables!J$19)</f>
        <v>314618.07018281455</v>
      </c>
      <c r="L107" s="258">
        <f>K107*(1+Variables!K$19)</f>
        <v>316191.1605337286</v>
      </c>
    </row>
    <row r="108" spans="2:12">
      <c r="B108" s="45"/>
      <c r="C108" s="212" t="s">
        <v>22</v>
      </c>
      <c r="D108" s="258">
        <f>(D17*Parametros!$E36)*(1+Variables!C$19)*(1+Parametros!$C$90)</f>
        <v>680465.28</v>
      </c>
      <c r="E108" s="258">
        <f>D108*(1+Variables!D$19)</f>
        <v>687269.93280000007</v>
      </c>
      <c r="F108" s="258">
        <f>E108*(1+Variables!E$19)</f>
        <v>694142.63212800003</v>
      </c>
      <c r="G108" s="258">
        <f>F108*(1+Variables!F$19)</f>
        <v>708025.48477056006</v>
      </c>
      <c r="H108" s="258">
        <f>G108*(1+Variables!G$19)</f>
        <v>718645.86704211833</v>
      </c>
      <c r="I108" s="258">
        <f>H108*(1+Variables!H$19)</f>
        <v>725832.32571253949</v>
      </c>
      <c r="J108" s="258">
        <f>I108*(1+Variables!I$19)</f>
        <v>747607.29548391572</v>
      </c>
      <c r="K108" s="258">
        <f>J108*(1+Variables!J$19)</f>
        <v>755083.36843875493</v>
      </c>
      <c r="L108" s="258">
        <f>K108*(1+Variables!K$19)</f>
        <v>758858.78528094862</v>
      </c>
    </row>
    <row r="109" spans="2:12">
      <c r="B109" s="45"/>
      <c r="C109" s="213" t="s">
        <v>12</v>
      </c>
      <c r="D109" s="259">
        <f>SUM(D106:D108)</f>
        <v>1729515.92</v>
      </c>
      <c r="E109" s="259">
        <f t="shared" ref="E109:L109" si="19">SUM(E106:E108)</f>
        <v>1746811.0792</v>
      </c>
      <c r="F109" s="259">
        <f t="shared" si="19"/>
        <v>1764279.1899920001</v>
      </c>
      <c r="G109" s="259">
        <f t="shared" si="19"/>
        <v>1799564.7737918398</v>
      </c>
      <c r="H109" s="259">
        <f t="shared" si="19"/>
        <v>1826558.2453987175</v>
      </c>
      <c r="I109" s="259">
        <f t="shared" si="19"/>
        <v>1844823.8278527046</v>
      </c>
      <c r="J109" s="259">
        <f t="shared" si="19"/>
        <v>1900168.5426882859</v>
      </c>
      <c r="K109" s="259">
        <f t="shared" si="19"/>
        <v>1919170.2281151686</v>
      </c>
      <c r="L109" s="259">
        <f t="shared" si="19"/>
        <v>1928766.0792557443</v>
      </c>
    </row>
    <row r="110" spans="2:12">
      <c r="B110" s="45"/>
      <c r="C110" s="43"/>
      <c r="D110" s="44"/>
      <c r="E110" s="44"/>
      <c r="F110" s="44"/>
      <c r="G110" s="44"/>
      <c r="H110" s="44"/>
      <c r="I110" s="44"/>
      <c r="J110" s="44"/>
      <c r="K110" s="44"/>
      <c r="L110" s="44"/>
    </row>
    <row r="111" spans="2:12">
      <c r="B111" s="45"/>
      <c r="C111" s="43"/>
      <c r="D111" s="48"/>
      <c r="E111" s="48"/>
      <c r="F111" s="48"/>
      <c r="G111" s="48"/>
      <c r="H111" s="48"/>
      <c r="I111" s="48"/>
      <c r="J111" s="48"/>
      <c r="K111" s="48"/>
      <c r="L111" s="48"/>
    </row>
    <row r="112" spans="2:12" ht="18">
      <c r="B112" s="40" t="s">
        <v>102</v>
      </c>
      <c r="C112" s="251" t="str">
        <f>C90</f>
        <v>Tecnico</v>
      </c>
      <c r="D112" s="251">
        <v>2013</v>
      </c>
      <c r="E112" s="251">
        <v>2014</v>
      </c>
      <c r="F112" s="251">
        <v>2015</v>
      </c>
      <c r="G112" s="251">
        <v>2016</v>
      </c>
      <c r="H112" s="251">
        <v>2017</v>
      </c>
      <c r="I112" s="251">
        <v>2018</v>
      </c>
      <c r="J112" s="251">
        <v>2019</v>
      </c>
      <c r="K112" s="251">
        <v>2020</v>
      </c>
      <c r="L112" s="251">
        <v>2021</v>
      </c>
    </row>
    <row r="113" spans="2:12">
      <c r="B113" s="37"/>
      <c r="C113" s="212" t="s">
        <v>405</v>
      </c>
      <c r="D113" s="258">
        <f>(D22*Parametros!$E34)*(1+Variables!C$19)*(1+Parametros!$C$90)</f>
        <v>765523.44</v>
      </c>
      <c r="E113" s="258">
        <f>D113*(1+Variables!D$19)</f>
        <v>773178.6743999999</v>
      </c>
      <c r="F113" s="258">
        <f>E113*(1+Variables!E$19)</f>
        <v>780910.46114399994</v>
      </c>
      <c r="G113" s="258">
        <f>F113*(1+Variables!F$19)</f>
        <v>796528.6703668799</v>
      </c>
      <c r="H113" s="258">
        <f>G113*(1+Variables!G$19)</f>
        <v>808476.60042238305</v>
      </c>
      <c r="I113" s="258">
        <f>H113*(1+Variables!H$19)</f>
        <v>816561.3664266069</v>
      </c>
      <c r="J113" s="258">
        <f>I113*(1+Variables!I$19)</f>
        <v>841058.20741940511</v>
      </c>
      <c r="K113" s="258">
        <f>J113*(1+Variables!J$19)</f>
        <v>849468.78949359921</v>
      </c>
      <c r="L113" s="258">
        <f>K113*(1+Variables!K$19)</f>
        <v>853716.13344106707</v>
      </c>
    </row>
    <row r="114" spans="2:12">
      <c r="B114" s="37"/>
      <c r="C114" s="212" t="s">
        <v>21</v>
      </c>
      <c r="D114" s="258">
        <f>(D23*Parametros!$E35)*(1+Variables!C$19)*(1+Parametros!$C$90)</f>
        <v>283527.2</v>
      </c>
      <c r="E114" s="258">
        <f>D114*(1+Variables!D$19)</f>
        <v>286362.47200000001</v>
      </c>
      <c r="F114" s="258">
        <f>E114*(1+Variables!E$19)</f>
        <v>289226.09672000003</v>
      </c>
      <c r="G114" s="258">
        <f>F114*(1+Variables!F$19)</f>
        <v>295010.61865440005</v>
      </c>
      <c r="H114" s="258">
        <f>G114*(1+Variables!G$19)</f>
        <v>299435.77793421602</v>
      </c>
      <c r="I114" s="258">
        <f>H114*(1+Variables!H$19)</f>
        <v>302430.13571355818</v>
      </c>
      <c r="J114" s="258">
        <f>I114*(1+Variables!I$19)</f>
        <v>311503.03978496493</v>
      </c>
      <c r="K114" s="258">
        <f>J114*(1+Variables!J$19)</f>
        <v>314618.07018281455</v>
      </c>
      <c r="L114" s="258">
        <f>K114*(1+Variables!K$19)</f>
        <v>316191.1605337286</v>
      </c>
    </row>
    <row r="115" spans="2:12">
      <c r="B115" s="37"/>
      <c r="C115" s="212" t="s">
        <v>22</v>
      </c>
      <c r="D115" s="258">
        <f>(D24*Parametros!$E36)*(1+Variables!C$19)*(1+Parametros!$C$90)</f>
        <v>680465.28</v>
      </c>
      <c r="E115" s="258">
        <f>D115*(1+Variables!D$19)</f>
        <v>687269.93280000007</v>
      </c>
      <c r="F115" s="258">
        <f>E115*(1+Variables!E$19)</f>
        <v>694142.63212800003</v>
      </c>
      <c r="G115" s="258">
        <f>F115*(1+Variables!F$19)</f>
        <v>708025.48477056006</v>
      </c>
      <c r="H115" s="258">
        <f>G115*(1+Variables!G$19)</f>
        <v>718645.86704211833</v>
      </c>
      <c r="I115" s="258">
        <f>H115*(1+Variables!H$19)</f>
        <v>725832.32571253949</v>
      </c>
      <c r="J115" s="258">
        <f>I115*(1+Variables!I$19)</f>
        <v>747607.29548391572</v>
      </c>
      <c r="K115" s="258">
        <f>J115*(1+Variables!J$19)</f>
        <v>755083.36843875493</v>
      </c>
      <c r="L115" s="258">
        <f>K115*(1+Variables!K$19)</f>
        <v>758858.78528094862</v>
      </c>
    </row>
    <row r="116" spans="2:12">
      <c r="B116" s="37"/>
      <c r="C116" s="213" t="s">
        <v>12</v>
      </c>
      <c r="D116" s="259">
        <f>SUM(D113:D115)</f>
        <v>1729515.92</v>
      </c>
      <c r="E116" s="259">
        <f t="shared" ref="E116:L116" si="20">SUM(E113:E115)</f>
        <v>1746811.0792</v>
      </c>
      <c r="F116" s="259">
        <f t="shared" si="20"/>
        <v>1764279.1899920001</v>
      </c>
      <c r="G116" s="259">
        <f t="shared" si="20"/>
        <v>1799564.7737918398</v>
      </c>
      <c r="H116" s="259">
        <f t="shared" si="20"/>
        <v>1826558.2453987175</v>
      </c>
      <c r="I116" s="259">
        <f t="shared" si="20"/>
        <v>1844823.8278527046</v>
      </c>
      <c r="J116" s="259">
        <f t="shared" si="20"/>
        <v>1900168.5426882859</v>
      </c>
      <c r="K116" s="259">
        <f t="shared" si="20"/>
        <v>1919170.2281151686</v>
      </c>
      <c r="L116" s="259">
        <f t="shared" si="20"/>
        <v>1928766.0792557443</v>
      </c>
    </row>
    <row r="119" spans="2:12" ht="18">
      <c r="B119" s="211" t="s">
        <v>559</v>
      </c>
    </row>
    <row r="122" spans="2:12" ht="18">
      <c r="B122" s="40" t="s">
        <v>94</v>
      </c>
      <c r="C122" s="251" t="str">
        <f>C100</f>
        <v>Tecnico</v>
      </c>
      <c r="D122" s="251">
        <v>2013</v>
      </c>
      <c r="E122" s="251">
        <v>2014</v>
      </c>
      <c r="F122" s="251">
        <v>2015</v>
      </c>
      <c r="G122" s="251">
        <v>2016</v>
      </c>
      <c r="H122" s="251">
        <v>2017</v>
      </c>
      <c r="I122" s="251">
        <v>2018</v>
      </c>
      <c r="J122" s="251">
        <v>2019</v>
      </c>
      <c r="K122" s="251">
        <v>2020</v>
      </c>
      <c r="L122" s="251">
        <v>2021</v>
      </c>
    </row>
    <row r="123" spans="2:12">
      <c r="B123" s="37"/>
      <c r="C123" s="212" t="s">
        <v>405</v>
      </c>
      <c r="D123" s="258">
        <f>D77+D100</f>
        <v>3434167.4399999995</v>
      </c>
      <c r="E123" s="258">
        <f t="shared" ref="E123:L123" si="21">E77+E100</f>
        <v>3473550.8783999998</v>
      </c>
      <c r="F123" s="258">
        <f t="shared" si="21"/>
        <v>3495805.5581639991</v>
      </c>
      <c r="G123" s="258">
        <f t="shared" si="21"/>
        <v>3545141.6568970792</v>
      </c>
      <c r="H123" s="258">
        <f t="shared" si="21"/>
        <v>3589802.916817884</v>
      </c>
      <c r="I123" s="258">
        <f t="shared" si="21"/>
        <v>3638081.0113008656</v>
      </c>
      <c r="J123" s="258">
        <f t="shared" si="21"/>
        <v>3695470.028333575</v>
      </c>
      <c r="K123" s="258">
        <f t="shared" si="21"/>
        <v>3744963.0153124752</v>
      </c>
      <c r="L123" s="258">
        <f t="shared" si="21"/>
        <v>3782830.1102338582</v>
      </c>
    </row>
    <row r="124" spans="2:12">
      <c r="B124" s="37"/>
      <c r="C124" s="212" t="s">
        <v>21</v>
      </c>
      <c r="D124" s="258">
        <f t="shared" ref="D124:L125" si="22">D78+D101</f>
        <v>4707062.6166666662</v>
      </c>
      <c r="E124" s="258">
        <f t="shared" si="22"/>
        <v>4755800.9615833331</v>
      </c>
      <c r="F124" s="258">
        <f t="shared" si="22"/>
        <v>4779675.7162512485</v>
      </c>
      <c r="G124" s="258">
        <f t="shared" si="22"/>
        <v>4834241.9070372125</v>
      </c>
      <c r="H124" s="258">
        <f t="shared" si="22"/>
        <v>4885995.3792008553</v>
      </c>
      <c r="I124" s="258">
        <f t="shared" si="22"/>
        <v>4947139.8071172889</v>
      </c>
      <c r="J124" s="258">
        <f t="shared" si="22"/>
        <v>5003799.771431623</v>
      </c>
      <c r="K124" s="258">
        <f t="shared" si="22"/>
        <v>5066351.1515179938</v>
      </c>
      <c r="L124" s="258">
        <f t="shared" si="22"/>
        <v>5116563.9278844111</v>
      </c>
    </row>
    <row r="125" spans="2:12">
      <c r="B125" s="37"/>
      <c r="C125" s="212" t="s">
        <v>22</v>
      </c>
      <c r="D125" s="258">
        <f t="shared" si="22"/>
        <v>3909533.6133333333</v>
      </c>
      <c r="E125" s="258">
        <f t="shared" si="22"/>
        <v>3953060.7244666666</v>
      </c>
      <c r="F125" s="258">
        <f t="shared" si="22"/>
        <v>3976742.327752999</v>
      </c>
      <c r="G125" s="258">
        <f t="shared" si="22"/>
        <v>4029650.5154768098</v>
      </c>
      <c r="H125" s="258">
        <f t="shared" si="22"/>
        <v>4078133.5480554295</v>
      </c>
      <c r="I125" s="258">
        <f t="shared" si="22"/>
        <v>4131840.0628355239</v>
      </c>
      <c r="J125" s="258">
        <f t="shared" si="22"/>
        <v>4191684.6808012421</v>
      </c>
      <c r="K125" s="258">
        <f t="shared" si="22"/>
        <v>4246709.833506899</v>
      </c>
      <c r="L125" s="258">
        <f t="shared" si="22"/>
        <v>4289396.999161494</v>
      </c>
    </row>
    <row r="126" spans="2:12">
      <c r="B126" s="37"/>
      <c r="C126" s="213" t="s">
        <v>12</v>
      </c>
      <c r="D126" s="259">
        <f>SUM(D123:D125)</f>
        <v>12050763.669999998</v>
      </c>
      <c r="E126" s="259">
        <f t="shared" ref="E126:L126" si="23">SUM(E123:E125)</f>
        <v>12182412.564449999</v>
      </c>
      <c r="F126" s="259">
        <f t="shared" si="23"/>
        <v>12252223.602168247</v>
      </c>
      <c r="G126" s="259">
        <f t="shared" si="23"/>
        <v>12409034.079411101</v>
      </c>
      <c r="H126" s="259">
        <f t="shared" si="23"/>
        <v>12553931.844074167</v>
      </c>
      <c r="I126" s="259">
        <f t="shared" si="23"/>
        <v>12717060.881253678</v>
      </c>
      <c r="J126" s="259">
        <f t="shared" si="23"/>
        <v>12890954.48056644</v>
      </c>
      <c r="K126" s="259">
        <f t="shared" si="23"/>
        <v>13058024.000337368</v>
      </c>
      <c r="L126" s="259">
        <f t="shared" si="23"/>
        <v>13188791.037279762</v>
      </c>
    </row>
    <row r="127" spans="2:12">
      <c r="B127" s="45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 spans="2:12" ht="18">
      <c r="B128" s="40" t="s">
        <v>101</v>
      </c>
      <c r="C128" s="251" t="str">
        <f>C106</f>
        <v>Tecnico</v>
      </c>
      <c r="D128" s="251">
        <v>2013</v>
      </c>
      <c r="E128" s="251">
        <v>2014</v>
      </c>
      <c r="F128" s="251">
        <v>2015</v>
      </c>
      <c r="G128" s="251">
        <v>2016</v>
      </c>
      <c r="H128" s="251">
        <v>2017</v>
      </c>
      <c r="I128" s="251">
        <v>2018</v>
      </c>
      <c r="J128" s="251">
        <v>2019</v>
      </c>
      <c r="K128" s="251">
        <v>2020</v>
      </c>
      <c r="L128" s="251">
        <v>2021</v>
      </c>
    </row>
    <row r="129" spans="2:12">
      <c r="B129" s="45"/>
      <c r="C129" s="212" t="s">
        <v>405</v>
      </c>
      <c r="D129" s="258">
        <f>D83+D106</f>
        <v>3082309.6899999995</v>
      </c>
      <c r="E129" s="258">
        <f t="shared" ref="E129:L129" si="24">E83+E106</f>
        <v>3118650.7493999992</v>
      </c>
      <c r="F129" s="258">
        <f t="shared" si="24"/>
        <v>3154671.1443939996</v>
      </c>
      <c r="G129" s="258">
        <f t="shared" si="24"/>
        <v>3199254.1604493796</v>
      </c>
      <c r="H129" s="258">
        <f t="shared" si="24"/>
        <v>3243582.9971820395</v>
      </c>
      <c r="I129" s="258">
        <f t="shared" si="24"/>
        <v>3296847.2245341083</v>
      </c>
      <c r="J129" s="258">
        <f t="shared" si="24"/>
        <v>3353556.131850278</v>
      </c>
      <c r="K129" s="258">
        <f t="shared" si="24"/>
        <v>3392110.5648968928</v>
      </c>
      <c r="L129" s="258">
        <f t="shared" si="24"/>
        <v>3427011.5265983948</v>
      </c>
    </row>
    <row r="130" spans="2:12">
      <c r="B130" s="45"/>
      <c r="C130" s="212" t="s">
        <v>21</v>
      </c>
      <c r="D130" s="258">
        <f t="shared" ref="D130:L131" si="25">D84+D107</f>
        <v>4506936.9222222213</v>
      </c>
      <c r="E130" s="258">
        <f t="shared" si="25"/>
        <v>4554394.5886666654</v>
      </c>
      <c r="F130" s="258">
        <f t="shared" si="25"/>
        <v>4601262.7151088892</v>
      </c>
      <c r="G130" s="258">
        <f t="shared" si="25"/>
        <v>4652103.6032271776</v>
      </c>
      <c r="H130" s="258">
        <f t="shared" si="25"/>
        <v>4706899.0617825706</v>
      </c>
      <c r="I130" s="258">
        <f t="shared" si="25"/>
        <v>4780172.5816585608</v>
      </c>
      <c r="J130" s="258">
        <f t="shared" si="25"/>
        <v>4839353.1444552112</v>
      </c>
      <c r="K130" s="258">
        <f t="shared" si="25"/>
        <v>4889358.609699049</v>
      </c>
      <c r="L130" s="258">
        <f t="shared" si="25"/>
        <v>4938615.105445127</v>
      </c>
    </row>
    <row r="131" spans="2:12">
      <c r="B131" s="45"/>
      <c r="C131" s="212" t="s">
        <v>22</v>
      </c>
      <c r="D131" s="258">
        <f t="shared" si="25"/>
        <v>3749433.0577777773</v>
      </c>
      <c r="E131" s="258">
        <f t="shared" si="25"/>
        <v>3791935.626133332</v>
      </c>
      <c r="F131" s="258">
        <f t="shared" si="25"/>
        <v>3834011.9268391114</v>
      </c>
      <c r="G131" s="258">
        <f t="shared" si="25"/>
        <v>3883939.8724287818</v>
      </c>
      <c r="H131" s="258">
        <f t="shared" si="25"/>
        <v>3934856.4941208023</v>
      </c>
      <c r="I131" s="258">
        <f t="shared" si="25"/>
        <v>3998266.2824685415</v>
      </c>
      <c r="J131" s="258">
        <f t="shared" si="25"/>
        <v>4060127.3792201122</v>
      </c>
      <c r="K131" s="258">
        <f t="shared" si="25"/>
        <v>4105115.8000517422</v>
      </c>
      <c r="L131" s="258">
        <f t="shared" si="25"/>
        <v>4147037.9412100669</v>
      </c>
    </row>
    <row r="132" spans="2:12">
      <c r="B132" s="45"/>
      <c r="C132" s="213" t="s">
        <v>12</v>
      </c>
      <c r="D132" s="259">
        <f>SUM(D129:D131)</f>
        <v>11338679.669999998</v>
      </c>
      <c r="E132" s="259">
        <f t="shared" ref="E132:L132" si="26">SUM(E129:E131)</f>
        <v>11464980.964199997</v>
      </c>
      <c r="F132" s="259">
        <f t="shared" si="26"/>
        <v>11589945.786342001</v>
      </c>
      <c r="G132" s="259">
        <f t="shared" si="26"/>
        <v>11735297.63610534</v>
      </c>
      <c r="H132" s="259">
        <f t="shared" si="26"/>
        <v>11885338.553085413</v>
      </c>
      <c r="I132" s="259">
        <f t="shared" si="26"/>
        <v>12075286.088661211</v>
      </c>
      <c r="J132" s="259">
        <f t="shared" si="26"/>
        <v>12253036.655525602</v>
      </c>
      <c r="K132" s="259">
        <f t="shared" si="26"/>
        <v>12386584.974647684</v>
      </c>
      <c r="L132" s="259">
        <f t="shared" si="26"/>
        <v>12512664.573253589</v>
      </c>
    </row>
    <row r="133" spans="2:12">
      <c r="B133" s="45"/>
      <c r="C133" s="43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2:12">
      <c r="B134" s="45"/>
      <c r="C134" s="43"/>
      <c r="D134" s="48"/>
      <c r="E134" s="48"/>
      <c r="F134" s="48"/>
      <c r="G134" s="48"/>
      <c r="H134" s="48"/>
      <c r="I134" s="48"/>
      <c r="J134" s="48"/>
      <c r="K134" s="48"/>
      <c r="L134" s="48"/>
    </row>
    <row r="135" spans="2:12" ht="18">
      <c r="B135" s="40" t="s">
        <v>102</v>
      </c>
      <c r="C135" s="251" t="str">
        <f>C113</f>
        <v>Tecnico</v>
      </c>
      <c r="D135" s="251">
        <v>2013</v>
      </c>
      <c r="E135" s="251">
        <v>2014</v>
      </c>
      <c r="F135" s="251">
        <v>2015</v>
      </c>
      <c r="G135" s="251">
        <v>2016</v>
      </c>
      <c r="H135" s="251">
        <v>2017</v>
      </c>
      <c r="I135" s="251">
        <v>2018</v>
      </c>
      <c r="J135" s="251">
        <v>2019</v>
      </c>
      <c r="K135" s="251">
        <v>2020</v>
      </c>
      <c r="L135" s="251">
        <v>2021</v>
      </c>
    </row>
    <row r="136" spans="2:12">
      <c r="B136" s="37"/>
      <c r="C136" s="212" t="s">
        <v>405</v>
      </c>
      <c r="D136" s="258">
        <f>D90+D113</f>
        <v>2515553.4399999995</v>
      </c>
      <c r="E136" s="258">
        <f t="shared" ref="E136:L136" si="27">E90+E113</f>
        <v>2549344.9243999999</v>
      </c>
      <c r="F136" s="258">
        <f t="shared" si="27"/>
        <v>2587214.7323939996</v>
      </c>
      <c r="G136" s="258">
        <f t="shared" si="27"/>
        <v>2634338.5886537544</v>
      </c>
      <c r="H136" s="258">
        <f t="shared" si="27"/>
        <v>2674418.9306480754</v>
      </c>
      <c r="I136" s="258">
        <f t="shared" si="27"/>
        <v>2706128.2327996036</v>
      </c>
      <c r="J136" s="258">
        <f t="shared" si="27"/>
        <v>2754747.9424561332</v>
      </c>
      <c r="K136" s="258">
        <f t="shared" si="27"/>
        <v>2792663.3258735873</v>
      </c>
      <c r="L136" s="258">
        <f t="shared" si="27"/>
        <v>2823900.4480372109</v>
      </c>
    </row>
    <row r="137" spans="2:12">
      <c r="B137" s="37"/>
      <c r="C137" s="212" t="s">
        <v>21</v>
      </c>
      <c r="D137" s="258">
        <f t="shared" ref="D137:L138" si="28">D91+D114</f>
        <v>3625316.0888888882</v>
      </c>
      <c r="E137" s="258">
        <f t="shared" si="28"/>
        <v>3668807.7497777776</v>
      </c>
      <c r="F137" s="258">
        <f t="shared" si="28"/>
        <v>3718552.7408866659</v>
      </c>
      <c r="G137" s="258">
        <f t="shared" si="28"/>
        <v>3773346.0471006492</v>
      </c>
      <c r="H137" s="258">
        <f t="shared" si="28"/>
        <v>3821532.7360630715</v>
      </c>
      <c r="I137" s="258">
        <f t="shared" si="28"/>
        <v>3861276.3722937754</v>
      </c>
      <c r="J137" s="258">
        <f t="shared" si="28"/>
        <v>3907873.7387309861</v>
      </c>
      <c r="K137" s="258">
        <f t="shared" si="28"/>
        <v>3956885.1267739069</v>
      </c>
      <c r="L137" s="258">
        <f t="shared" si="28"/>
        <v>4000442.3165721744</v>
      </c>
    </row>
    <row r="138" spans="2:12">
      <c r="B138" s="37"/>
      <c r="C138" s="212" t="s">
        <v>22</v>
      </c>
      <c r="D138" s="258">
        <f t="shared" si="28"/>
        <v>2236047.5022222223</v>
      </c>
      <c r="E138" s="258">
        <f t="shared" si="28"/>
        <v>2266084.3772444446</v>
      </c>
      <c r="F138" s="258">
        <f t="shared" si="28"/>
        <v>2299746.4287946662</v>
      </c>
      <c r="G138" s="258">
        <f t="shared" si="28"/>
        <v>2341634.3010255597</v>
      </c>
      <c r="H138" s="258">
        <f t="shared" si="28"/>
        <v>2377261.2716871784</v>
      </c>
      <c r="I138" s="258">
        <f t="shared" si="28"/>
        <v>2405447.3180440925</v>
      </c>
      <c r="J138" s="258">
        <f t="shared" si="28"/>
        <v>2448664.837738785</v>
      </c>
      <c r="K138" s="258">
        <f t="shared" si="28"/>
        <v>2482367.4007765222</v>
      </c>
      <c r="L138" s="258">
        <f t="shared" si="28"/>
        <v>2510133.7315886319</v>
      </c>
    </row>
    <row r="139" spans="2:12">
      <c r="B139" s="37"/>
      <c r="C139" s="213" t="s">
        <v>12</v>
      </c>
      <c r="D139" s="259">
        <f>SUM(D136:D138)</f>
        <v>8376917.03111111</v>
      </c>
      <c r="E139" s="259">
        <f t="shared" ref="E139:L139" si="29">SUM(E136:E138)</f>
        <v>8484237.0514222216</v>
      </c>
      <c r="F139" s="259">
        <f t="shared" si="29"/>
        <v>8605513.9020753317</v>
      </c>
      <c r="G139" s="259">
        <f t="shared" si="29"/>
        <v>8749318.9367799629</v>
      </c>
      <c r="H139" s="259">
        <f t="shared" si="29"/>
        <v>8873212.9383983258</v>
      </c>
      <c r="I139" s="259">
        <f t="shared" si="29"/>
        <v>8972851.9231374711</v>
      </c>
      <c r="J139" s="259">
        <f t="shared" si="29"/>
        <v>9111286.5189259052</v>
      </c>
      <c r="K139" s="259">
        <f t="shared" si="29"/>
        <v>9231915.8534240164</v>
      </c>
      <c r="L139" s="259">
        <f t="shared" si="29"/>
        <v>9334476.4961980172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6"/>
  <sheetViews>
    <sheetView topLeftCell="A11" workbookViewId="0">
      <selection activeCell="D106" sqref="D106"/>
    </sheetView>
  </sheetViews>
  <sheetFormatPr baseColWidth="10" defaultRowHeight="15" x14ac:dyDescent="0"/>
  <cols>
    <col min="3" max="3" width="16" customWidth="1"/>
    <col min="4" max="4" width="17.6640625" customWidth="1"/>
    <col min="5" max="5" width="12.83203125" customWidth="1"/>
    <col min="6" max="6" width="13.33203125" customWidth="1"/>
    <col min="7" max="7" width="14" customWidth="1"/>
    <col min="8" max="8" width="13.6640625" customWidth="1"/>
    <col min="9" max="9" width="13.83203125" customWidth="1"/>
    <col min="10" max="10" width="14.1640625" customWidth="1"/>
    <col min="11" max="11" width="13.33203125" customWidth="1"/>
    <col min="12" max="12" width="12.6640625" customWidth="1"/>
  </cols>
  <sheetData>
    <row r="2" spans="2:12" ht="18">
      <c r="B2" s="28" t="s">
        <v>505</v>
      </c>
    </row>
    <row r="3" spans="2:12">
      <c r="C3" s="126"/>
    </row>
    <row r="4" spans="2:12" ht="18">
      <c r="B4" s="66" t="s">
        <v>134</v>
      </c>
      <c r="C4" s="106" t="s">
        <v>32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C5" s="23" t="s">
        <v>95</v>
      </c>
      <c r="D5" s="67">
        <f>Parametros!F21</f>
        <v>1547000</v>
      </c>
      <c r="E5" s="67">
        <f>D8</f>
        <v>1577831.9665046297</v>
      </c>
      <c r="F5" s="67">
        <f t="shared" ref="F5:L5" si="0">E8</f>
        <v>1611602.6393228844</v>
      </c>
      <c r="G5" s="67">
        <f t="shared" si="0"/>
        <v>1634382.8136766553</v>
      </c>
      <c r="H5" s="67">
        <f t="shared" si="0"/>
        <v>1668541.5191526935</v>
      </c>
      <c r="I5" s="67">
        <f t="shared" si="0"/>
        <v>1705086.3530731313</v>
      </c>
      <c r="J5" s="67">
        <f t="shared" si="0"/>
        <v>1751880.486203555</v>
      </c>
      <c r="K5" s="67">
        <f t="shared" si="0"/>
        <v>1788025.163132593</v>
      </c>
      <c r="L5" s="67">
        <f t="shared" si="0"/>
        <v>1826554.181623973</v>
      </c>
    </row>
    <row r="6" spans="2:12">
      <c r="C6" s="23" t="s">
        <v>135</v>
      </c>
      <c r="D6" s="67">
        <f>'Compras Valorizadas'!C7</f>
        <v>18964815.564560182</v>
      </c>
      <c r="E6" s="67">
        <f>'Compras Valorizadas'!D7</f>
        <v>19373002.344692875</v>
      </c>
      <c r="F6" s="67">
        <f>'Compras Valorizadas'!E7</f>
        <v>19635373.93847362</v>
      </c>
      <c r="G6" s="67">
        <f>'Compras Valorizadas'!F7</f>
        <v>20056656.935308337</v>
      </c>
      <c r="H6" s="67">
        <f>'Compras Valorizadas'!G7</f>
        <v>20497581.070798025</v>
      </c>
      <c r="I6" s="67">
        <f>'Compras Valorizadas'!H7</f>
        <v>21069359.967573106</v>
      </c>
      <c r="J6" s="67">
        <f>'Compras Valorizadas'!I7</f>
        <v>21492446.634520173</v>
      </c>
      <c r="K6" s="67">
        <f>'Compras Valorizadas'!J7</f>
        <v>21957179.19797904</v>
      </c>
      <c r="L6" s="67">
        <f>'Compras Valorizadas'!K7</f>
        <v>22400676.596623845</v>
      </c>
    </row>
    <row r="7" spans="2:12">
      <c r="C7" s="23" t="s">
        <v>136</v>
      </c>
      <c r="D7" s="67">
        <f>D10*'Necesidades de insumos'!D47</f>
        <v>18933983.598055553</v>
      </c>
      <c r="E7" s="67">
        <f>E10*'Necesidades de insumos'!E47</f>
        <v>19339231.67187462</v>
      </c>
      <c r="F7" s="67">
        <f>F10*'Necesidades de insumos'!F47</f>
        <v>19612593.764119849</v>
      </c>
      <c r="G7" s="67">
        <f>G10*'Necesidades de insumos'!G47</f>
        <v>20022498.229832299</v>
      </c>
      <c r="H7" s="67">
        <f>H10*'Necesidades de insumos'!H47</f>
        <v>20461036.236877587</v>
      </c>
      <c r="I7" s="67">
        <f>I10*'Necesidades de insumos'!I47</f>
        <v>21022565.834442683</v>
      </c>
      <c r="J7" s="67">
        <f>J10*'Necesidades de insumos'!J47</f>
        <v>21456301.957591135</v>
      </c>
      <c r="K7" s="67">
        <f>K10*'Necesidades de insumos'!K47</f>
        <v>21918650.179487661</v>
      </c>
      <c r="L7" s="67">
        <f>L10*'Necesidades de insumos'!L47</f>
        <v>22363597.641459525</v>
      </c>
    </row>
    <row r="8" spans="2:12">
      <c r="C8" s="23" t="s">
        <v>98</v>
      </c>
      <c r="D8" s="67">
        <f>D5+D6-D7</f>
        <v>1577831.9665046297</v>
      </c>
      <c r="E8" s="67">
        <f t="shared" ref="E8:L8" si="1">E5+E6-E7</f>
        <v>1611602.6393228844</v>
      </c>
      <c r="F8" s="67">
        <f t="shared" si="1"/>
        <v>1634382.8136766553</v>
      </c>
      <c r="G8" s="67">
        <f t="shared" si="1"/>
        <v>1668541.5191526935</v>
      </c>
      <c r="H8" s="67">
        <f t="shared" si="1"/>
        <v>1705086.3530731313</v>
      </c>
      <c r="I8" s="67">
        <f t="shared" si="1"/>
        <v>1751880.486203555</v>
      </c>
      <c r="J8" s="67">
        <f t="shared" si="1"/>
        <v>1788025.163132593</v>
      </c>
      <c r="K8" s="67">
        <f t="shared" si="1"/>
        <v>1826554.181623973</v>
      </c>
      <c r="L8" s="67">
        <f t="shared" si="1"/>
        <v>1863633.1367882937</v>
      </c>
    </row>
    <row r="9" spans="2:12">
      <c r="D9" s="127"/>
      <c r="E9" s="127"/>
      <c r="F9" s="127"/>
      <c r="G9" s="127"/>
      <c r="H9" s="127"/>
      <c r="I9" s="127"/>
      <c r="J9" s="127"/>
      <c r="K9" s="127"/>
      <c r="L9" s="127"/>
    </row>
    <row r="10" spans="2:12">
      <c r="C10" s="23" t="s">
        <v>279</v>
      </c>
      <c r="D10" s="144">
        <f>SUM(D5:D6)/SUM('Plan de Compras'!D5:D6)</f>
        <v>3.4314120309364373</v>
      </c>
      <c r="E10" s="144">
        <f>SUM(E5:E6)/SUM('Plan de Compras'!E5:E6)</f>
        <v>3.4687012600853335</v>
      </c>
      <c r="F10" s="144">
        <f>SUM(F5:F6)/SUM('Plan de Compras'!F5:F6)</f>
        <v>3.4875746813476276</v>
      </c>
      <c r="G10" s="144">
        <f>SUM(G5:G6)/SUM('Plan de Compras'!G5:G6)</f>
        <v>3.5212512700235719</v>
      </c>
      <c r="H10" s="144">
        <f>SUM(H5:H6)/SUM('Plan de Compras'!H5:H6)</f>
        <v>3.5596277013079378</v>
      </c>
      <c r="I10" s="144">
        <f>SUM(I5:I6)/SUM('Plan de Compras'!I5:I6)</f>
        <v>3.6119302801316269</v>
      </c>
      <c r="J10" s="144">
        <f>SUM(J5:J6)/SUM('Plan de Compras'!J5:J6)</f>
        <v>3.6493114664105213</v>
      </c>
      <c r="K10" s="144">
        <f>SUM(K5:K6)/SUM('Plan de Compras'!K5:K6)</f>
        <v>3.6859043370138966</v>
      </c>
      <c r="L10" s="144">
        <f>SUM(L5:L6)/SUM('Plan de Compras'!L5:L6)</f>
        <v>3.7227673331670781</v>
      </c>
    </row>
    <row r="13" spans="2:12">
      <c r="C13" s="126"/>
      <c r="D13" s="68"/>
    </row>
    <row r="14" spans="2:12" ht="18">
      <c r="B14" s="66" t="s">
        <v>139</v>
      </c>
      <c r="C14" s="106" t="s">
        <v>33</v>
      </c>
      <c r="D14" s="106">
        <v>2013</v>
      </c>
      <c r="E14" s="106">
        <v>2014</v>
      </c>
      <c r="F14" s="106">
        <v>2015</v>
      </c>
      <c r="G14" s="106">
        <v>2016</v>
      </c>
      <c r="H14" s="106">
        <v>2017</v>
      </c>
      <c r="I14" s="106">
        <v>2018</v>
      </c>
      <c r="J14" s="106">
        <v>2019</v>
      </c>
      <c r="K14" s="106">
        <v>2020</v>
      </c>
      <c r="L14" s="106">
        <v>2021</v>
      </c>
    </row>
    <row r="15" spans="2:12">
      <c r="C15" s="23" t="s">
        <v>95</v>
      </c>
      <c r="D15" s="67">
        <f>Parametros!F22</f>
        <v>1730000</v>
      </c>
      <c r="E15" s="67">
        <f>D18</f>
        <v>1768204.9552892484</v>
      </c>
      <c r="F15" s="67">
        <f t="shared" ref="F15:L15" si="2">E18</f>
        <v>1805944.8888312131</v>
      </c>
      <c r="G15" s="67">
        <f t="shared" si="2"/>
        <v>1830701.1620211564</v>
      </c>
      <c r="H15" s="67">
        <f t="shared" si="2"/>
        <v>1868783.2192145213</v>
      </c>
      <c r="I15" s="67">
        <f t="shared" si="2"/>
        <v>1909540.722019475</v>
      </c>
      <c r="J15" s="67">
        <f t="shared" si="2"/>
        <v>1961954.7821744122</v>
      </c>
      <c r="K15" s="67">
        <f t="shared" si="2"/>
        <v>2002380.2822585367</v>
      </c>
      <c r="L15" s="67">
        <f t="shared" si="2"/>
        <v>2045640.0564474538</v>
      </c>
    </row>
    <row r="16" spans="2:12">
      <c r="C16" s="23" t="s">
        <v>135</v>
      </c>
      <c r="D16" s="67">
        <f>'Compras Valorizadas'!C8</f>
        <v>21256664.41876021</v>
      </c>
      <c r="E16" s="67">
        <f>'Compras Valorizadas'!D8</f>
        <v>21709078.599516481</v>
      </c>
      <c r="F16" s="67">
        <f>'Compras Valorizadas'!E8</f>
        <v>21993170.217443798</v>
      </c>
      <c r="G16" s="67">
        <f>'Compras Valorizadas'!F8</f>
        <v>22463480.687767621</v>
      </c>
      <c r="H16" s="67">
        <f>'Compras Valorizadas'!G8</f>
        <v>22955246.167038668</v>
      </c>
      <c r="I16" s="67">
        <f>'Compras Valorizadas'!H8</f>
        <v>23595871.446247857</v>
      </c>
      <c r="J16" s="67">
        <f>'Compras Valorizadas'!I8</f>
        <v>24068988.887186579</v>
      </c>
      <c r="K16" s="67">
        <f>'Compras Valorizadas'!J8</f>
        <v>24590940.451558404</v>
      </c>
      <c r="L16" s="67">
        <f>'Compras Valorizadas'!K8</f>
        <v>25086389.62785415</v>
      </c>
    </row>
    <row r="17" spans="2:12">
      <c r="C17" s="23" t="s">
        <v>136</v>
      </c>
      <c r="D17" s="67">
        <f>D20*'Necesidades de insumos'!D48</f>
        <v>21218459.463470962</v>
      </c>
      <c r="E17" s="67">
        <f>E20*'Necesidades de insumos'!E48</f>
        <v>21671338.665974516</v>
      </c>
      <c r="F17" s="67">
        <f>F20*'Necesidades de insumos'!F48</f>
        <v>21968413.944253854</v>
      </c>
      <c r="G17" s="67">
        <f>G20*'Necesidades de insumos'!G48</f>
        <v>22425398.630574256</v>
      </c>
      <c r="H17" s="67">
        <f>H20*'Necesidades de insumos'!H48</f>
        <v>22914488.664233714</v>
      </c>
      <c r="I17" s="67">
        <f>I20*'Necesidades de insumos'!I48</f>
        <v>23543457.38609292</v>
      </c>
      <c r="J17" s="67">
        <f>J20*'Necesidades de insumos'!J48</f>
        <v>24028563.387102455</v>
      </c>
      <c r="K17" s="67">
        <f>K20*'Necesidades de insumos'!K48</f>
        <v>24547680.677369487</v>
      </c>
      <c r="L17" s="67">
        <f>L20*'Necesidades de insumos'!L48</f>
        <v>25044950.477816869</v>
      </c>
    </row>
    <row r="18" spans="2:12">
      <c r="C18" s="23" t="s">
        <v>98</v>
      </c>
      <c r="D18" s="67">
        <f>D15+D16-D17</f>
        <v>1768204.9552892484</v>
      </c>
      <c r="E18" s="67">
        <f t="shared" ref="E18:L18" si="3">E15+E16-E17</f>
        <v>1805944.8888312131</v>
      </c>
      <c r="F18" s="67">
        <f t="shared" si="3"/>
        <v>1830701.1620211564</v>
      </c>
      <c r="G18" s="67">
        <f t="shared" si="3"/>
        <v>1868783.2192145213</v>
      </c>
      <c r="H18" s="67">
        <f t="shared" si="3"/>
        <v>1909540.722019475</v>
      </c>
      <c r="I18" s="67">
        <f t="shared" si="3"/>
        <v>1961954.7821744122</v>
      </c>
      <c r="J18" s="67">
        <f t="shared" si="3"/>
        <v>2002380.2822585367</v>
      </c>
      <c r="K18" s="67">
        <f t="shared" si="3"/>
        <v>2045640.0564474538</v>
      </c>
      <c r="L18" s="67">
        <f t="shared" si="3"/>
        <v>2087079.206484735</v>
      </c>
    </row>
    <row r="19" spans="2:12">
      <c r="D19" s="127"/>
      <c r="E19" s="127"/>
      <c r="F19" s="127"/>
      <c r="G19" s="127"/>
      <c r="H19" s="127"/>
      <c r="I19" s="127"/>
      <c r="J19" s="127"/>
      <c r="K19" s="127"/>
      <c r="L19" s="127"/>
    </row>
    <row r="20" spans="2:12">
      <c r="C20" s="23" t="s">
        <v>279</v>
      </c>
      <c r="D20" s="144">
        <f>SUM(D15:D16)/SUM('Plan de Compras'!D15:D16)</f>
        <v>2.5231010881774631</v>
      </c>
      <c r="E20" s="144">
        <f>SUM(E15:E16)/SUM('Plan de Compras'!E15:E16)</f>
        <v>2.5505158091068378</v>
      </c>
      <c r="F20" s="144">
        <f>SUM(F15:F16)/SUM('Plan de Compras'!F15:F16)</f>
        <v>2.564392679327995</v>
      </c>
      <c r="G20" s="144">
        <f>SUM(G15:G16)/SUM('Plan de Compras'!G15:G16)</f>
        <v>2.5891551136780522</v>
      </c>
      <c r="H20" s="144">
        <f>SUM(H15:H16)/SUM('Plan de Compras'!H15:H16)</f>
        <v>2.6173730814782927</v>
      </c>
      <c r="I20" s="144">
        <f>SUM(I15:I16)/SUM('Plan de Compras'!I15:I16)</f>
        <v>2.6558310850783502</v>
      </c>
      <c r="J20" s="144">
        <f>SUM(J15:J16)/SUM('Plan de Compras'!J15:J16)</f>
        <v>2.6833171940791996</v>
      </c>
      <c r="K20" s="144">
        <f>SUM(K15:K16)/SUM('Plan de Compras'!K15:K16)</f>
        <v>2.7102238934565803</v>
      </c>
      <c r="L20" s="144">
        <f>SUM(L15:L16)/SUM('Plan de Compras'!L15:L16)</f>
        <v>2.7373288370811744</v>
      </c>
    </row>
    <row r="23" spans="2:12">
      <c r="C23" s="126"/>
    </row>
    <row r="24" spans="2:12" ht="18">
      <c r="B24" s="66" t="s">
        <v>140</v>
      </c>
      <c r="C24" s="106" t="s">
        <v>34</v>
      </c>
      <c r="D24" s="106">
        <v>2013</v>
      </c>
      <c r="E24" s="106">
        <v>2014</v>
      </c>
      <c r="F24" s="106">
        <v>2015</v>
      </c>
      <c r="G24" s="106">
        <v>2016</v>
      </c>
      <c r="H24" s="106">
        <v>2017</v>
      </c>
      <c r="I24" s="106">
        <v>2018</v>
      </c>
      <c r="J24" s="106">
        <v>2019</v>
      </c>
      <c r="K24" s="106">
        <v>2020</v>
      </c>
      <c r="L24" s="106">
        <v>2021</v>
      </c>
    </row>
    <row r="25" spans="2:12">
      <c r="C25" s="23" t="s">
        <v>95</v>
      </c>
      <c r="D25" s="67">
        <f>Parametros!F23</f>
        <v>15000</v>
      </c>
      <c r="E25" s="67">
        <f>D28</f>
        <v>15316.417827754281</v>
      </c>
      <c r="F25" s="67">
        <f t="shared" ref="F25:L25" si="4">E28</f>
        <v>15650.200036221766</v>
      </c>
      <c r="G25" s="67">
        <f t="shared" si="4"/>
        <v>15888.76987190661</v>
      </c>
      <c r="H25" s="67">
        <f t="shared" si="4"/>
        <v>16233.990233300603</v>
      </c>
      <c r="I25" s="67">
        <f t="shared" si="4"/>
        <v>16595.889169503702</v>
      </c>
      <c r="J25" s="67">
        <f t="shared" si="4"/>
        <v>17045.220815524459</v>
      </c>
      <c r="K25" s="67">
        <f t="shared" si="4"/>
        <v>17392.955889021861</v>
      </c>
      <c r="L25" s="67">
        <f t="shared" si="4"/>
        <v>17768.854965409031</v>
      </c>
    </row>
    <row r="26" spans="2:12">
      <c r="C26" s="23" t="s">
        <v>135</v>
      </c>
      <c r="D26" s="67">
        <f>'Compras Valorizadas'!C9</f>
        <v>551707.45962690632</v>
      </c>
      <c r="E26" s="67">
        <f>'Compras Valorizadas'!D9</f>
        <v>563740.98351244989</v>
      </c>
      <c r="F26" s="67">
        <f>'Compras Valorizadas'!E9</f>
        <v>572234.28522432188</v>
      </c>
      <c r="G26" s="67">
        <f>'Compras Valorizadas'!F9</f>
        <v>584768.86876021523</v>
      </c>
      <c r="H26" s="67">
        <f>'Compras Valorizadas'!G9</f>
        <v>597813.9090383373</v>
      </c>
      <c r="I26" s="67">
        <f>'Compras Valorizadas'!H9</f>
        <v>614077.28100490198</v>
      </c>
      <c r="J26" s="67">
        <f>'Compras Valorizadas'!I9</f>
        <v>626494.1470782801</v>
      </c>
      <c r="K26" s="67">
        <f>'Compras Valorizadas'!J9</f>
        <v>640054.67783111311</v>
      </c>
      <c r="L26" s="67">
        <f>'Compras Valorizadas'!K9</f>
        <v>653157.97694604646</v>
      </c>
    </row>
    <row r="27" spans="2:12">
      <c r="C27" s="23" t="s">
        <v>136</v>
      </c>
      <c r="D27" s="67">
        <f>D30*'Necesidades de insumos'!D49</f>
        <v>551391.04179915204</v>
      </c>
      <c r="E27" s="67">
        <f>E30*'Necesidades de insumos'!E49</f>
        <v>563407.20130398241</v>
      </c>
      <c r="F27" s="67">
        <f>F30*'Necesidades de insumos'!F49</f>
        <v>571995.71538863704</v>
      </c>
      <c r="G27" s="67">
        <f>G30*'Necesidades de insumos'!G49</f>
        <v>584423.64839882124</v>
      </c>
      <c r="H27" s="67">
        <f>H30*'Necesidades de insumos'!H49</f>
        <v>597452.0101021342</v>
      </c>
      <c r="I27" s="67">
        <f>I30*'Necesidades de insumos'!I49</f>
        <v>613627.94935888122</v>
      </c>
      <c r="J27" s="67">
        <f>J30*'Necesidades de insumos'!J49</f>
        <v>626146.4120047827</v>
      </c>
      <c r="K27" s="67">
        <f>K30*'Necesidades de insumos'!K49</f>
        <v>639678.77875472594</v>
      </c>
      <c r="L27" s="67">
        <f>L30*'Necesidades de insumos'!L49</f>
        <v>652793.6742922269</v>
      </c>
    </row>
    <row r="28" spans="2:12">
      <c r="C28" s="23" t="s">
        <v>98</v>
      </c>
      <c r="D28" s="67">
        <f>D25+D26-D27</f>
        <v>15316.417827754281</v>
      </c>
      <c r="E28" s="67">
        <f t="shared" ref="E28:L28" si="5">E25+E26-E27</f>
        <v>15650.200036221766</v>
      </c>
      <c r="F28" s="67">
        <f t="shared" si="5"/>
        <v>15888.76987190661</v>
      </c>
      <c r="G28" s="67">
        <f t="shared" si="5"/>
        <v>16233.990233300603</v>
      </c>
      <c r="H28" s="67">
        <f t="shared" si="5"/>
        <v>16595.889169503702</v>
      </c>
      <c r="I28" s="67">
        <f t="shared" si="5"/>
        <v>17045.220815524459</v>
      </c>
      <c r="J28" s="67">
        <f t="shared" si="5"/>
        <v>17392.955889021861</v>
      </c>
      <c r="K28" s="67">
        <f t="shared" si="5"/>
        <v>17768.854965409031</v>
      </c>
      <c r="L28" s="67">
        <f t="shared" si="5"/>
        <v>18133.157619228587</v>
      </c>
    </row>
    <row r="29" spans="2:12">
      <c r="D29" s="127"/>
      <c r="E29" s="127"/>
      <c r="F29" s="127"/>
      <c r="G29" s="127"/>
      <c r="H29" s="127"/>
      <c r="I29" s="127"/>
      <c r="J29" s="127"/>
      <c r="K29" s="127"/>
      <c r="L29" s="127"/>
    </row>
    <row r="30" spans="2:12">
      <c r="C30" s="23" t="s">
        <v>279</v>
      </c>
      <c r="D30" s="144">
        <f>SUM(D25:D26)/SUM('Plan de Compras'!D25:D26)</f>
        <v>0.25243318426112815</v>
      </c>
      <c r="E30" s="144">
        <f>SUM(E25:E26)/SUM('Plan de Compras'!E25:E26)</f>
        <v>0.25520144109485116</v>
      </c>
      <c r="F30" s="144">
        <f>SUM(F25:F26)/SUM('Plan de Compras'!F25:F26)</f>
        <v>0.25651769803446078</v>
      </c>
      <c r="G30" s="144">
        <f>SUM(G25:G26)/SUM('Plan de Compras'!G25:G26)</f>
        <v>0.25904992532661969</v>
      </c>
      <c r="H30" s="144">
        <f>SUM(H25:H26)/SUM('Plan de Compras'!H25:H26)</f>
        <v>0.26189170018555763</v>
      </c>
      <c r="I30" s="144">
        <f>SUM(I25:I26)/SUM('Plan de Compras'!I25:I26)</f>
        <v>0.26579225762400055</v>
      </c>
      <c r="J30" s="144">
        <f>SUM(J25:J26)/SUM('Plan de Compras'!J25:J26)</f>
        <v>0.2684842742811947</v>
      </c>
      <c r="K30" s="144">
        <f>SUM(K25:K26)/SUM('Plan de Compras'!K25:K26)</f>
        <v>0.27117012584880712</v>
      </c>
      <c r="L30" s="144">
        <f>SUM(L25:L26)/SUM('Plan de Compras'!L25:L26)</f>
        <v>0.27388177339200598</v>
      </c>
    </row>
    <row r="33" spans="2:12">
      <c r="C33" s="126"/>
    </row>
    <row r="34" spans="2:12" ht="18">
      <c r="B34" s="66" t="s">
        <v>141</v>
      </c>
      <c r="C34" s="106" t="s">
        <v>35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C35" s="23" t="s">
        <v>95</v>
      </c>
      <c r="D35" s="67">
        <f>Parametros!F24</f>
        <v>640000</v>
      </c>
      <c r="E35" s="67">
        <f>D38</f>
        <v>656292.35992751829</v>
      </c>
      <c r="F35" s="67">
        <f t="shared" ref="F35:L35" si="6">E38</f>
        <v>670319.48977036681</v>
      </c>
      <c r="G35" s="67">
        <f t="shared" si="6"/>
        <v>679673.66672552563</v>
      </c>
      <c r="H35" s="67">
        <f t="shared" si="6"/>
        <v>693847.59508242458</v>
      </c>
      <c r="I35" s="67">
        <f t="shared" si="6"/>
        <v>709017.15244669653</v>
      </c>
      <c r="J35" s="67">
        <f t="shared" si="6"/>
        <v>728483.04999462143</v>
      </c>
      <c r="K35" s="67">
        <f t="shared" si="6"/>
        <v>743505.82108711638</v>
      </c>
      <c r="L35" s="67">
        <f t="shared" si="6"/>
        <v>759541.43594310433</v>
      </c>
    </row>
    <row r="36" spans="2:12">
      <c r="C36" s="23" t="s">
        <v>135</v>
      </c>
      <c r="D36" s="67">
        <f>'Compras Valorizadas'!C10</f>
        <v>7891800.6790577341</v>
      </c>
      <c r="E36" s="67">
        <f>'Compras Valorizadas'!D10</f>
        <v>8057861.0070872549</v>
      </c>
      <c r="F36" s="67">
        <f>'Compras Valorizadas'!E10</f>
        <v>8165438.1776614599</v>
      </c>
      <c r="G36" s="67">
        <f>'Compras Valorizadas'!F10</f>
        <v>8340345.0693459874</v>
      </c>
      <c r="H36" s="67">
        <f>'Compras Valorizadas'!G10</f>
        <v>8523375.3867246136</v>
      </c>
      <c r="I36" s="67">
        <f>'Compras Valorizadas'!H10</f>
        <v>8761262.4974833764</v>
      </c>
      <c r="J36" s="67">
        <f>'Compras Valorizadas'!I10</f>
        <v>8937092.6241378728</v>
      </c>
      <c r="K36" s="67">
        <f>'Compras Valorizadas'!J10</f>
        <v>9130532.8461732306</v>
      </c>
      <c r="L36" s="67">
        <f>'Compras Valorizadas'!K10</f>
        <v>9314751.9166753553</v>
      </c>
    </row>
    <row r="37" spans="2:12">
      <c r="C37" s="23" t="s">
        <v>136</v>
      </c>
      <c r="D37" s="67">
        <f>D40*'Necesidades de insumos'!D50</f>
        <v>7875508.3191302158</v>
      </c>
      <c r="E37" s="67">
        <f>E40*'Necesidades de insumos'!E50</f>
        <v>8043833.8772444064</v>
      </c>
      <c r="F37" s="67">
        <f>F40*'Necesidades de insumos'!F50</f>
        <v>8156084.000706302</v>
      </c>
      <c r="G37" s="67">
        <f>G40*'Necesidades de insumos'!G50</f>
        <v>8326171.1409890875</v>
      </c>
      <c r="H37" s="67">
        <f>H40*'Necesidades de insumos'!H50</f>
        <v>8508205.8293603417</v>
      </c>
      <c r="I37" s="67">
        <f>I40*'Necesidades de insumos'!I50</f>
        <v>8741796.5999354515</v>
      </c>
      <c r="J37" s="67">
        <f>J40*'Necesidades de insumos'!J50</f>
        <v>8922069.8530453779</v>
      </c>
      <c r="K37" s="67">
        <f>K40*'Necesidades de insumos'!K50</f>
        <v>9114497.2313172426</v>
      </c>
      <c r="L37" s="67">
        <f>L40*'Necesidades de insumos'!L50</f>
        <v>9299347.7101093475</v>
      </c>
    </row>
    <row r="38" spans="2:12">
      <c r="C38" s="23" t="s">
        <v>98</v>
      </c>
      <c r="D38" s="67">
        <f>D35+D36-D37</f>
        <v>656292.35992751829</v>
      </c>
      <c r="E38" s="67">
        <f t="shared" ref="E38:L38" si="7">E35+E36-E37</f>
        <v>670319.48977036681</v>
      </c>
      <c r="F38" s="67">
        <f t="shared" si="7"/>
        <v>679673.66672552563</v>
      </c>
      <c r="G38" s="67">
        <f t="shared" si="7"/>
        <v>693847.59508242458</v>
      </c>
      <c r="H38" s="67">
        <f t="shared" si="7"/>
        <v>709017.15244669653</v>
      </c>
      <c r="I38" s="67">
        <f t="shared" si="7"/>
        <v>728483.04999462143</v>
      </c>
      <c r="J38" s="67">
        <f t="shared" si="7"/>
        <v>743505.82108711638</v>
      </c>
      <c r="K38" s="67">
        <f t="shared" si="7"/>
        <v>759541.43594310433</v>
      </c>
      <c r="L38" s="67">
        <f t="shared" si="7"/>
        <v>774945.64250911213</v>
      </c>
    </row>
    <row r="39" spans="2:12"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C40" s="23" t="s">
        <v>279</v>
      </c>
      <c r="D40" s="144">
        <f>SUM(D35:D36)/SUM('Plan de Compras'!D35:D36)</f>
        <v>4.0369717273027534</v>
      </c>
      <c r="E40" s="144">
        <f>SUM(E35:E36)/SUM('Plan de Compras'!E35:E36)</f>
        <v>4.0808261679467019</v>
      </c>
      <c r="F40" s="144">
        <f>SUM(F35:F36)/SUM('Plan de Compras'!F35:F36)</f>
        <v>4.1030287997128871</v>
      </c>
      <c r="G40" s="144">
        <f>SUM(G35:G36)/SUM('Plan de Compras'!G35:G36)</f>
        <v>4.1426483877279363</v>
      </c>
      <c r="H40" s="144">
        <f>SUM(H35:H36)/SUM('Plan de Compras'!H35:H36)</f>
        <v>4.1877971400260146</v>
      </c>
      <c r="I40" s="144">
        <f>SUM(I35:I36)/SUM('Plan de Compras'!I35:I36)</f>
        <v>4.2493297830032386</v>
      </c>
      <c r="J40" s="144">
        <f>SUM(J35:J36)/SUM('Plan de Compras'!J35:J36)</f>
        <v>4.293307575476331</v>
      </c>
      <c r="K40" s="144">
        <f>SUM(K35:K36)/SUM('Plan de Compras'!K35:K36)</f>
        <v>4.3363581076543971</v>
      </c>
      <c r="L40" s="144">
        <f>SUM(L35:L36)/SUM('Plan de Compras'!L35:L36)</f>
        <v>4.3797262126688672</v>
      </c>
    </row>
    <row r="43" spans="2:12">
      <c r="C43" s="126"/>
    </row>
    <row r="44" spans="2:12" ht="18">
      <c r="B44" s="66" t="s">
        <v>142</v>
      </c>
      <c r="C44" s="106" t="s">
        <v>36</v>
      </c>
      <c r="D44" s="106">
        <v>2013</v>
      </c>
      <c r="E44" s="106">
        <v>2014</v>
      </c>
      <c r="F44" s="106">
        <v>2015</v>
      </c>
      <c r="G44" s="106">
        <v>2016</v>
      </c>
      <c r="H44" s="106">
        <v>2017</v>
      </c>
      <c r="I44" s="106">
        <v>2018</v>
      </c>
      <c r="J44" s="106">
        <v>2019</v>
      </c>
      <c r="K44" s="106">
        <v>2020</v>
      </c>
      <c r="L44" s="106">
        <v>2021</v>
      </c>
    </row>
    <row r="45" spans="2:12">
      <c r="C45" s="23" t="s">
        <v>95</v>
      </c>
      <c r="D45" s="67">
        <f>Parametros!F25</f>
        <v>360000</v>
      </c>
      <c r="E45" s="67">
        <f>D48</f>
        <v>364785.04986016825</v>
      </c>
      <c r="F45" s="67">
        <f t="shared" ref="F45:L45" si="8">E48</f>
        <v>372442.63949604053</v>
      </c>
      <c r="G45" s="67">
        <f t="shared" si="8"/>
        <v>377031.98171579186</v>
      </c>
      <c r="H45" s="67">
        <f t="shared" si="8"/>
        <v>384568.11796864495</v>
      </c>
      <c r="I45" s="67">
        <f t="shared" si="8"/>
        <v>392828.91663898341</v>
      </c>
      <c r="J45" s="67">
        <f t="shared" si="8"/>
        <v>403993.24849618692</v>
      </c>
      <c r="K45" s="67">
        <f t="shared" si="8"/>
        <v>412348.08142272197</v>
      </c>
      <c r="L45" s="67">
        <f t="shared" si="8"/>
        <v>421140.88110849541</v>
      </c>
    </row>
    <row r="46" spans="2:12">
      <c r="C46" s="23" t="s">
        <v>135</v>
      </c>
      <c r="D46" s="67">
        <f>'Compras Valorizadas'!C11</f>
        <v>4382205.6481821891</v>
      </c>
      <c r="E46" s="67">
        <f>'Compras Valorizadas'!D11</f>
        <v>4476969.2635883577</v>
      </c>
      <c r="F46" s="67">
        <f>'Compras Valorizadas'!E11</f>
        <v>4528973.122809262</v>
      </c>
      <c r="G46" s="67">
        <f>'Compras Valorizadas'!F11</f>
        <v>4622353.551876598</v>
      </c>
      <c r="H46" s="67">
        <f>'Compras Valorizadas'!G11</f>
        <v>4722207.798338132</v>
      </c>
      <c r="I46" s="67">
        <f>'Compras Valorizadas'!H11</f>
        <v>4859083.3138114475</v>
      </c>
      <c r="J46" s="67">
        <f>'Compras Valorizadas'!I11</f>
        <v>4956531.8099991921</v>
      </c>
      <c r="K46" s="67">
        <f>'Compras Valorizadas'!J11</f>
        <v>5062483.3729877174</v>
      </c>
      <c r="L46" s="67">
        <f>'Compras Valorizadas'!K11</f>
        <v>5163229.2396823568</v>
      </c>
    </row>
    <row r="47" spans="2:12">
      <c r="C47" s="23" t="s">
        <v>136</v>
      </c>
      <c r="D47" s="67">
        <f>D50*'Necesidades de insumos'!D51</f>
        <v>4377420.5983220208</v>
      </c>
      <c r="E47" s="67">
        <f>E50*'Necesidades de insumos'!E51</f>
        <v>4469311.6739524854</v>
      </c>
      <c r="F47" s="67">
        <f>F50*'Necesidades de insumos'!F51</f>
        <v>4524383.7805895107</v>
      </c>
      <c r="G47" s="67">
        <f>G50*'Necesidades de insumos'!G51</f>
        <v>4614817.4156237449</v>
      </c>
      <c r="H47" s="67">
        <f>H50*'Necesidades de insumos'!H51</f>
        <v>4713946.9996677935</v>
      </c>
      <c r="I47" s="67">
        <f>I50*'Necesidades de insumos'!I51</f>
        <v>4847918.981954244</v>
      </c>
      <c r="J47" s="67">
        <f>J50*'Necesidades de insumos'!J51</f>
        <v>4948176.9770726571</v>
      </c>
      <c r="K47" s="67">
        <f>K50*'Necesidades de insumos'!K51</f>
        <v>5053690.573301944</v>
      </c>
      <c r="L47" s="67">
        <f>L50*'Necesidades de insumos'!L51</f>
        <v>5154803.188422326</v>
      </c>
    </row>
    <row r="48" spans="2:12">
      <c r="C48" s="23" t="s">
        <v>98</v>
      </c>
      <c r="D48" s="67">
        <f>D45+D46-D47</f>
        <v>364785.04986016825</v>
      </c>
      <c r="E48" s="67">
        <f t="shared" ref="E48:L48" si="9">E45+E46-E47</f>
        <v>372442.63949604053</v>
      </c>
      <c r="F48" s="67">
        <f t="shared" si="9"/>
        <v>377031.98171579186</v>
      </c>
      <c r="G48" s="67">
        <f t="shared" si="9"/>
        <v>384568.11796864495</v>
      </c>
      <c r="H48" s="67">
        <f t="shared" si="9"/>
        <v>392828.91663898341</v>
      </c>
      <c r="I48" s="67">
        <f t="shared" si="9"/>
        <v>403993.24849618692</v>
      </c>
      <c r="J48" s="67">
        <f t="shared" si="9"/>
        <v>412348.08142272197</v>
      </c>
      <c r="K48" s="67">
        <f t="shared" si="9"/>
        <v>421140.88110849541</v>
      </c>
      <c r="L48" s="67">
        <f t="shared" si="9"/>
        <v>429566.93236852624</v>
      </c>
    </row>
    <row r="49" spans="2:12">
      <c r="D49" s="127"/>
      <c r="E49" s="127"/>
      <c r="F49" s="127"/>
      <c r="G49" s="127"/>
      <c r="H49" s="127"/>
      <c r="I49" s="127"/>
      <c r="J49" s="127"/>
      <c r="K49" s="127"/>
      <c r="L49" s="127"/>
    </row>
    <row r="50" spans="2:12">
      <c r="C50" s="23" t="s">
        <v>279</v>
      </c>
      <c r="D50" s="144">
        <f>SUM(D45:D46)/SUM('Plan de Compras'!D45:D46)</f>
        <v>3.0277015493661907</v>
      </c>
      <c r="E50" s="144">
        <f>SUM(E45:E46)/SUM('Plan de Compras'!E45:E46)</f>
        <v>3.0606165171922082</v>
      </c>
      <c r="F50" s="144">
        <f>SUM(F45:F46)/SUM('Plan de Compras'!F45:F46)</f>
        <v>3.0772691444953995</v>
      </c>
      <c r="G50" s="144">
        <f>SUM(G45:G46)/SUM('Plan de Compras'!G45:G46)</f>
        <v>3.1069840263294761</v>
      </c>
      <c r="H50" s="144">
        <f>SUM(H45:H46)/SUM('Plan de Compras'!H45:H46)</f>
        <v>3.1408466380323903</v>
      </c>
      <c r="I50" s="144">
        <f>SUM(I45:I46)/SUM('Plan de Compras'!I45:I46)</f>
        <v>3.1870008015567763</v>
      </c>
      <c r="J50" s="144">
        <f>SUM(J45:J46)/SUM('Plan de Compras'!J45:J46)</f>
        <v>3.2199811041690145</v>
      </c>
      <c r="K50" s="144">
        <f>SUM(K45:K46)/SUM('Plan de Compras'!K45:K46)</f>
        <v>3.2522679791886464</v>
      </c>
      <c r="L50" s="144">
        <f>SUM(L45:L46)/SUM('Plan de Compras'!L45:L46)</f>
        <v>3.2847938956069869</v>
      </c>
    </row>
    <row r="54" spans="2:12" ht="18">
      <c r="B54" s="66" t="s">
        <v>143</v>
      </c>
      <c r="C54" s="106" t="s">
        <v>281</v>
      </c>
      <c r="D54" s="106">
        <v>2013</v>
      </c>
      <c r="E54" s="106">
        <v>2014</v>
      </c>
      <c r="F54" s="106">
        <v>2015</v>
      </c>
      <c r="G54" s="106">
        <v>2016</v>
      </c>
      <c r="H54" s="106">
        <v>2017</v>
      </c>
      <c r="I54" s="106">
        <v>2018</v>
      </c>
      <c r="J54" s="106">
        <v>2019</v>
      </c>
      <c r="K54" s="106">
        <v>2020</v>
      </c>
      <c r="L54" s="106">
        <v>2021</v>
      </c>
    </row>
    <row r="55" spans="2:12">
      <c r="C55" s="23" t="s">
        <v>95</v>
      </c>
      <c r="D55" s="67">
        <f>Parametros!F26</f>
        <v>1860000</v>
      </c>
      <c r="E55" s="67">
        <f>D58</f>
        <v>1910931.7539173774</v>
      </c>
      <c r="F55" s="67">
        <f t="shared" ref="F55:L55" si="10">E58</f>
        <v>1952403.3984578103</v>
      </c>
      <c r="G55" s="67">
        <f t="shared" si="10"/>
        <v>1985224.5237174481</v>
      </c>
      <c r="H55" s="67">
        <f t="shared" si="10"/>
        <v>2027587.7618936598</v>
      </c>
      <c r="I55" s="67">
        <f t="shared" si="10"/>
        <v>2073150.2612490207</v>
      </c>
      <c r="J55" s="67">
        <f t="shared" si="10"/>
        <v>2130682.734814886</v>
      </c>
      <c r="K55" s="67">
        <f t="shared" si="10"/>
        <v>2175128.313581448</v>
      </c>
      <c r="L55" s="67">
        <f t="shared" si="10"/>
        <v>2220887.5115171224</v>
      </c>
    </row>
    <row r="56" spans="2:12">
      <c r="C56" s="23" t="s">
        <v>135</v>
      </c>
      <c r="D56" s="67">
        <f>'Compras Valorizadas'!C12</f>
        <v>22982112.800925922</v>
      </c>
      <c r="E56" s="67">
        <f>'Compras Valorizadas'!D12</f>
        <v>23470312.42603416</v>
      </c>
      <c r="F56" s="67">
        <f>'Compras Valorizadas'!E12</f>
        <v>23855515.409868989</v>
      </c>
      <c r="G56" s="67">
        <f>'Compras Valorizadas'!F12</f>
        <v>24373416.380900156</v>
      </c>
      <c r="H56" s="67">
        <f>'Compras Valorizadas'!G12</f>
        <v>24923365.634343665</v>
      </c>
      <c r="I56" s="67">
        <f>'Compras Valorizadas'!H12</f>
        <v>25625725.291344475</v>
      </c>
      <c r="J56" s="67">
        <f>'Compras Valorizadas'!I12</f>
        <v>26145985.341743954</v>
      </c>
      <c r="K56" s="67">
        <f>'Compras Valorizadas'!J12</f>
        <v>26696409.336141154</v>
      </c>
      <c r="L56" s="67">
        <f>'Compras Valorizadas'!K12</f>
        <v>27243302.178310037</v>
      </c>
    </row>
    <row r="57" spans="2:12">
      <c r="C57" s="23" t="s">
        <v>136</v>
      </c>
      <c r="D57" s="67">
        <f>D60*'Necesidades de insumos'!D52</f>
        <v>22931181.047008544</v>
      </c>
      <c r="E57" s="67">
        <f>E60*'Necesidades de insumos'!E52</f>
        <v>23428840.781493727</v>
      </c>
      <c r="F57" s="67">
        <f>F60*'Necesidades de insumos'!F52</f>
        <v>23822694.284609351</v>
      </c>
      <c r="G57" s="67">
        <f>G60*'Necesidades de insumos'!G52</f>
        <v>24331053.142723944</v>
      </c>
      <c r="H57" s="67">
        <f>H60*'Necesidades de insumos'!H52</f>
        <v>24877803.134988304</v>
      </c>
      <c r="I57" s="67">
        <f>I60*'Necesidades de insumos'!I52</f>
        <v>25568192.81777861</v>
      </c>
      <c r="J57" s="67">
        <f>J60*'Necesidades de insumos'!J52</f>
        <v>26101539.762977391</v>
      </c>
      <c r="K57" s="67">
        <f>K60*'Necesidades de insumos'!K52</f>
        <v>26650650.13820548</v>
      </c>
      <c r="L57" s="67">
        <f>L60*'Necesidades de insumos'!L52</f>
        <v>27197713.559840456</v>
      </c>
    </row>
    <row r="58" spans="2:12">
      <c r="C58" s="23" t="s">
        <v>98</v>
      </c>
      <c r="D58" s="67">
        <f>D55+D56-D57</f>
        <v>1910931.7539173774</v>
      </c>
      <c r="E58" s="67">
        <f t="shared" ref="E58:L58" si="11">E55+E56-E57</f>
        <v>1952403.3984578103</v>
      </c>
      <c r="F58" s="67">
        <f t="shared" si="11"/>
        <v>1985224.5237174481</v>
      </c>
      <c r="G58" s="67">
        <f t="shared" si="11"/>
        <v>2027587.7618936598</v>
      </c>
      <c r="H58" s="67">
        <f t="shared" si="11"/>
        <v>2073150.2612490207</v>
      </c>
      <c r="I58" s="67">
        <f t="shared" si="11"/>
        <v>2130682.734814886</v>
      </c>
      <c r="J58" s="67">
        <f t="shared" si="11"/>
        <v>2175128.313581448</v>
      </c>
      <c r="K58" s="67">
        <f t="shared" si="11"/>
        <v>2220887.5115171224</v>
      </c>
      <c r="L58" s="67">
        <f t="shared" si="11"/>
        <v>2266476.1299867034</v>
      </c>
    </row>
    <row r="59" spans="2:12">
      <c r="D59" s="127"/>
      <c r="E59" s="127"/>
      <c r="F59" s="127"/>
      <c r="G59" s="127"/>
      <c r="H59" s="127"/>
      <c r="I59" s="127"/>
      <c r="J59" s="127"/>
      <c r="K59" s="127"/>
      <c r="L59" s="127"/>
    </row>
    <row r="60" spans="2:12">
      <c r="C60" s="23" t="s">
        <v>279</v>
      </c>
      <c r="D60" s="144">
        <f>SUM(D55:D56)/SUM('Plan de Compras'!D55:D56)</f>
        <v>20.184886998091784</v>
      </c>
      <c r="E60" s="144">
        <f>SUM(E55:E56)/SUM('Plan de Compras'!E55:E56)</f>
        <v>20.404138835406911</v>
      </c>
      <c r="F60" s="144">
        <f>SUM(F55:F56)/SUM('Plan de Compras'!F55:F56)</f>
        <v>20.515170345102025</v>
      </c>
      <c r="G60" s="144">
        <f>SUM(G55:G56)/SUM('Plan de Compras'!G55:G56)</f>
        <v>20.713251705428064</v>
      </c>
      <c r="H60" s="144">
        <f>SUM(H55:H56)/SUM('Plan de Compras'!H55:H56)</f>
        <v>20.938997503614139</v>
      </c>
      <c r="I60" s="144">
        <f>SUM(I55:I56)/SUM('Plan de Compras'!I55:I56)</f>
        <v>21.246657112343161</v>
      </c>
      <c r="J60" s="144">
        <f>SUM(J55:J56)/SUM('Plan de Compras'!J55:J56)</f>
        <v>21.466542726123112</v>
      </c>
      <c r="K60" s="144">
        <f>SUM(K55:K56)/SUM('Plan de Compras'!K55:K56)</f>
        <v>21.681781719427416</v>
      </c>
      <c r="L60" s="144">
        <f>SUM(L55:L56)/SUM('Plan de Compras'!L55:L56)</f>
        <v>21.898634694911006</v>
      </c>
    </row>
    <row r="64" spans="2:12" ht="18">
      <c r="B64" s="66" t="s">
        <v>144</v>
      </c>
      <c r="C64" s="106" t="s">
        <v>111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C65" s="23" t="s">
        <v>95</v>
      </c>
      <c r="D65" s="67">
        <f>Parametros!F27</f>
        <v>364000</v>
      </c>
      <c r="E65" s="67">
        <f>D68</f>
        <v>374086.01860362198</v>
      </c>
      <c r="F65" s="67">
        <f t="shared" ref="F65:L65" si="12">E68</f>
        <v>382067.15391543228</v>
      </c>
      <c r="G65" s="67">
        <f t="shared" si="12"/>
        <v>387558.0432021413</v>
      </c>
      <c r="H65" s="67">
        <f t="shared" si="12"/>
        <v>395571.74669841584</v>
      </c>
      <c r="I65" s="67">
        <f t="shared" si="12"/>
        <v>404249.95026752632</v>
      </c>
      <c r="J65" s="67">
        <f t="shared" si="12"/>
        <v>415559.51215949841</v>
      </c>
      <c r="K65" s="67">
        <f t="shared" si="12"/>
        <v>424177.86301459</v>
      </c>
      <c r="L65" s="67">
        <f t="shared" si="12"/>
        <v>433195.34033092856</v>
      </c>
    </row>
    <row r="66" spans="2:12">
      <c r="C66" s="23" t="s">
        <v>135</v>
      </c>
      <c r="D66" s="67">
        <f>'Compras Valorizadas'!C13</f>
        <v>4499118.2418470858</v>
      </c>
      <c r="E66" s="67">
        <f>'Compras Valorizadas'!D13</f>
        <v>4592786.9822969995</v>
      </c>
      <c r="F66" s="67">
        <f>'Compras Valorizadas'!E13</f>
        <v>4656187.4077124046</v>
      </c>
      <c r="G66" s="67">
        <f>'Compras Valorizadas'!F13</f>
        <v>4754874.6638772711</v>
      </c>
      <c r="H66" s="67">
        <f>'Compras Valorizadas'!G13</f>
        <v>4859677.6067794198</v>
      </c>
      <c r="I66" s="67">
        <f>'Compras Valorizadas'!H13</f>
        <v>4998023.7078059502</v>
      </c>
      <c r="J66" s="67">
        <f>'Compras Valorizadas'!I13</f>
        <v>5098752.7070301706</v>
      </c>
      <c r="K66" s="67">
        <f>'Compras Valorizadas'!J13</f>
        <v>5207361.5612874823</v>
      </c>
      <c r="L66" s="67">
        <f>'Compras Valorizadas'!K13</f>
        <v>5312447.8766906969</v>
      </c>
    </row>
    <row r="67" spans="2:12">
      <c r="C67" s="23" t="s">
        <v>136</v>
      </c>
      <c r="D67" s="67">
        <f>D70*'Necesidades de insumos'!D53</f>
        <v>4489032.2232434638</v>
      </c>
      <c r="E67" s="67">
        <f>E70*'Necesidades de insumos'!E53</f>
        <v>4584805.8469851892</v>
      </c>
      <c r="F67" s="67">
        <f>F70*'Necesidades de insumos'!F53</f>
        <v>4650696.5184256956</v>
      </c>
      <c r="G67" s="67">
        <f>G70*'Necesidades de insumos'!G53</f>
        <v>4746860.9603809966</v>
      </c>
      <c r="H67" s="67">
        <f>H70*'Necesidades de insumos'!H53</f>
        <v>4850999.4032103093</v>
      </c>
      <c r="I67" s="67">
        <f>I70*'Necesidades de insumos'!I53</f>
        <v>4986714.1459139781</v>
      </c>
      <c r="J67" s="67">
        <f>J70*'Necesidades de insumos'!J53</f>
        <v>5090134.356175079</v>
      </c>
      <c r="K67" s="67">
        <f>K70*'Necesidades de insumos'!K53</f>
        <v>5198344.0839711437</v>
      </c>
      <c r="L67" s="67">
        <f>L70*'Necesidades de insumos'!L53</f>
        <v>5303670.6618661154</v>
      </c>
    </row>
    <row r="68" spans="2:12">
      <c r="C68" s="23" t="s">
        <v>98</v>
      </c>
      <c r="D68" s="67">
        <f>D65+D66-D67</f>
        <v>374086.01860362198</v>
      </c>
      <c r="E68" s="67">
        <f t="shared" ref="E68:L68" si="13">E65+E66-E67</f>
        <v>382067.15391543228</v>
      </c>
      <c r="F68" s="67">
        <f t="shared" si="13"/>
        <v>387558.0432021413</v>
      </c>
      <c r="G68" s="67">
        <f t="shared" si="13"/>
        <v>395571.74669841584</v>
      </c>
      <c r="H68" s="67">
        <f t="shared" si="13"/>
        <v>404249.95026752632</v>
      </c>
      <c r="I68" s="67">
        <f t="shared" si="13"/>
        <v>415559.51215949841</v>
      </c>
      <c r="J68" s="67">
        <f t="shared" si="13"/>
        <v>424177.86301459</v>
      </c>
      <c r="K68" s="67">
        <f t="shared" si="13"/>
        <v>433195.34033092856</v>
      </c>
      <c r="L68" s="67">
        <f t="shared" si="13"/>
        <v>441972.55515551008</v>
      </c>
    </row>
    <row r="69" spans="2:12">
      <c r="D69" s="127"/>
      <c r="E69" s="127"/>
      <c r="F69" s="127"/>
      <c r="G69" s="127"/>
      <c r="H69" s="127"/>
      <c r="I69" s="127"/>
      <c r="J69" s="127"/>
      <c r="K69" s="127"/>
      <c r="L69" s="127"/>
    </row>
    <row r="70" spans="2:12">
      <c r="C70" s="23" t="s">
        <v>279</v>
      </c>
      <c r="D70" s="144">
        <f>SUM(D65:D66)/SUM('Plan de Compras'!D65:D66)</f>
        <v>13.120179664239526</v>
      </c>
      <c r="E70" s="144">
        <f>SUM(E65:E66)/SUM('Plan de Compras'!E65:E66)</f>
        <v>13.26268626471111</v>
      </c>
      <c r="F70" s="144">
        <f>SUM(F65:F66)/SUM('Plan de Compras'!F65:F66)</f>
        <v>13.334846139314459</v>
      </c>
      <c r="G70" s="144">
        <f>SUM(G65:G66)/SUM('Plan de Compras'!G65:G66)</f>
        <v>13.463605622259404</v>
      </c>
      <c r="H70" s="144">
        <f>SUM(H65:H66)/SUM('Plan de Compras'!H65:H66)</f>
        <v>13.610341470339515</v>
      </c>
      <c r="I70" s="144">
        <f>SUM(I65:I66)/SUM('Plan de Compras'!I65:I66)</f>
        <v>13.81033019077803</v>
      </c>
      <c r="J70" s="144">
        <f>SUM(J65:J66)/SUM('Plan de Compras'!J65:J66)</f>
        <v>13.953251617232151</v>
      </c>
      <c r="K70" s="144">
        <f>SUM(K65:K66)/SUM('Plan de Compras'!K65:K66)</f>
        <v>14.093160523150132</v>
      </c>
      <c r="L70" s="144">
        <f>SUM(L65:L66)/SUM('Plan de Compras'!L65:L66)</f>
        <v>14.234109714970714</v>
      </c>
    </row>
    <row r="74" spans="2:12" ht="18">
      <c r="B74" s="63" t="s">
        <v>145</v>
      </c>
      <c r="C74" s="106" t="s">
        <v>43</v>
      </c>
      <c r="D74" s="106">
        <v>2013</v>
      </c>
      <c r="E74" s="106">
        <v>2014</v>
      </c>
      <c r="F74" s="106">
        <v>2015</v>
      </c>
      <c r="G74" s="106">
        <v>2016</v>
      </c>
      <c r="H74" s="106">
        <v>2017</v>
      </c>
      <c r="I74" s="106">
        <v>2018</v>
      </c>
      <c r="J74" s="106">
        <v>2019</v>
      </c>
      <c r="K74" s="106">
        <v>2020</v>
      </c>
      <c r="L74" s="106">
        <v>2021</v>
      </c>
    </row>
    <row r="75" spans="2:12">
      <c r="B75" s="10"/>
      <c r="C75" s="51" t="s">
        <v>95</v>
      </c>
      <c r="D75" s="128">
        <f>Parametros!F28</f>
        <v>225000</v>
      </c>
      <c r="E75" s="128">
        <v>12043</v>
      </c>
      <c r="F75" s="128">
        <v>12250</v>
      </c>
      <c r="G75" s="128">
        <v>12314</v>
      </c>
      <c r="H75" s="128">
        <v>12436</v>
      </c>
      <c r="I75" s="128">
        <v>12572</v>
      </c>
      <c r="J75" s="128">
        <v>12760</v>
      </c>
      <c r="K75" s="128">
        <v>12889</v>
      </c>
      <c r="L75" s="128">
        <v>13018</v>
      </c>
    </row>
    <row r="76" spans="2:12">
      <c r="B76" s="10"/>
      <c r="C76" s="51" t="s">
        <v>135</v>
      </c>
      <c r="D76" s="129">
        <f>'Compras Valorizadas'!C14</f>
        <v>4289756.9505718956</v>
      </c>
      <c r="E76" s="129">
        <f>'Compras Valorizadas'!D14</f>
        <v>4371743.2997617703</v>
      </c>
      <c r="F76" s="129">
        <f>'Compras Valorizadas'!E14</f>
        <v>4412086.0061045792</v>
      </c>
      <c r="G76" s="129">
        <f>'Compras Valorizadas'!F14</f>
        <v>4504071.5184517754</v>
      </c>
      <c r="H76" s="129">
        <f>'Compras Valorizadas'!G14</f>
        <v>4599048.7682776572</v>
      </c>
      <c r="I76" s="129">
        <f>'Compras Valorizadas'!H14</f>
        <v>4725376.1469959263</v>
      </c>
      <c r="J76" s="129">
        <f>'Compras Valorizadas'!I14</f>
        <v>4818961.1740000267</v>
      </c>
      <c r="K76" s="129">
        <f>'Compras Valorizadas'!J14</f>
        <v>4926982.4868615605</v>
      </c>
      <c r="L76" s="129">
        <f>'Compras Valorizadas'!K14</f>
        <v>5024560.2827318022</v>
      </c>
    </row>
    <row r="77" spans="2:12">
      <c r="B77" s="10"/>
      <c r="C77" s="51" t="s">
        <v>136</v>
      </c>
      <c r="D77" s="130">
        <f>D80*'Necesidades de insumos'!D54</f>
        <v>4277138.1636996903</v>
      </c>
      <c r="E77" s="130">
        <f>E80*'Necesidades de insumos'!E54</f>
        <v>4153060.7050374667</v>
      </c>
      <c r="F77" s="130">
        <f>F80*'Necesidades de insumos'!F54</f>
        <v>4191476.2163096019</v>
      </c>
      <c r="G77" s="130">
        <f>G80*'Necesidades de insumos'!G54</f>
        <v>4278681.0174806295</v>
      </c>
      <c r="H77" s="130">
        <f>H80*'Necesidades de insumos'!H54</f>
        <v>4368775.0436314652</v>
      </c>
      <c r="I77" s="130">
        <f>I80*'Necesidades de insumos'!I54</f>
        <v>4488582.4550487725</v>
      </c>
      <c r="J77" s="130">
        <f>J80*'Necesidades de insumos'!J54</f>
        <v>4577420.0595789729</v>
      </c>
      <c r="K77" s="130">
        <f>K80*'Necesidades de insumos'!K54</f>
        <v>4679878.2507109521</v>
      </c>
      <c r="L77" s="130">
        <f>L80*'Necesidades de insumos'!L54</f>
        <v>4772442.5836406546</v>
      </c>
    </row>
    <row r="78" spans="2:12">
      <c r="B78" s="10"/>
      <c r="C78" s="51" t="s">
        <v>98</v>
      </c>
      <c r="D78" s="129">
        <f>D75+D76-D77</f>
        <v>237618.78687220532</v>
      </c>
      <c r="E78" s="129">
        <f t="shared" ref="E78:L78" si="14">E75+E76-E77</f>
        <v>230725.59472430358</v>
      </c>
      <c r="F78" s="129">
        <f t="shared" si="14"/>
        <v>232859.78979497729</v>
      </c>
      <c r="G78" s="129">
        <f t="shared" si="14"/>
        <v>237704.50097114593</v>
      </c>
      <c r="H78" s="129">
        <f t="shared" si="14"/>
        <v>242709.72464619204</v>
      </c>
      <c r="I78" s="129">
        <f t="shared" si="14"/>
        <v>249365.69194715377</v>
      </c>
      <c r="J78" s="129">
        <f t="shared" si="14"/>
        <v>254301.11442105379</v>
      </c>
      <c r="K78" s="129">
        <f t="shared" si="14"/>
        <v>259993.2361506084</v>
      </c>
      <c r="L78" s="129">
        <f t="shared" si="14"/>
        <v>265135.69909114763</v>
      </c>
    </row>
    <row r="79" spans="2:12">
      <c r="B79" s="10"/>
      <c r="C79" s="10"/>
      <c r="D79" s="131"/>
      <c r="E79" s="131"/>
      <c r="F79" s="131"/>
      <c r="G79" s="131"/>
      <c r="H79" s="131"/>
      <c r="I79" s="131"/>
      <c r="J79" s="131"/>
      <c r="K79" s="131"/>
      <c r="L79" s="131"/>
    </row>
    <row r="80" spans="2:12">
      <c r="B80" s="10"/>
      <c r="C80" s="65" t="s">
        <v>279</v>
      </c>
      <c r="D80" s="145">
        <f>SUM(D75:D76)/SUM('Plan de Compras'!D75:D76)</f>
        <v>15.142453520578337</v>
      </c>
      <c r="E80" s="145">
        <f>SUM(E75:E76)/SUM('Plan de Compras'!E75:E76)</f>
        <v>14.558440675239762</v>
      </c>
      <c r="F80" s="145">
        <f>SUM(F75:F76)/SUM('Plan de Compras'!F75:F76)</f>
        <v>14.627196686517612</v>
      </c>
      <c r="G80" s="145">
        <f>SUM(G75:G76)/SUM('Plan de Compras'!G75:G76)</f>
        <v>14.777619126637962</v>
      </c>
      <c r="H80" s="145">
        <f>SUM(H75:H76)/SUM('Plan de Compras'!H75:H76)</f>
        <v>14.939390091392466</v>
      </c>
      <c r="I80" s="145">
        <f>SUM(I75:I76)/SUM('Plan de Compras'!I75:I76)</f>
        <v>15.164605894290998</v>
      </c>
      <c r="J80" s="145">
        <f>SUM(J75:J76)/SUM('Plan de Compras'!J75:J76)</f>
        <v>15.314120748338345</v>
      </c>
      <c r="K80" s="145">
        <f>SUM(K75:K76)/SUM('Plan de Compras'!K75:K76)</f>
        <v>15.468727507174709</v>
      </c>
      <c r="L80" s="145">
        <f>SUM(L75:L76)/SUM('Plan de Compras'!L75:L76)</f>
        <v>15.621046475091454</v>
      </c>
    </row>
    <row r="84" spans="2:12" ht="18">
      <c r="B84" s="63" t="s">
        <v>146</v>
      </c>
      <c r="C84" s="106" t="s">
        <v>37</v>
      </c>
      <c r="D84" s="106">
        <v>2013</v>
      </c>
      <c r="E84" s="106">
        <v>2014</v>
      </c>
      <c r="F84" s="106">
        <v>2015</v>
      </c>
      <c r="G84" s="106">
        <v>2016</v>
      </c>
      <c r="H84" s="106">
        <v>2017</v>
      </c>
      <c r="I84" s="106">
        <v>2018</v>
      </c>
      <c r="J84" s="106">
        <v>2019</v>
      </c>
      <c r="K84" s="106">
        <v>2020</v>
      </c>
      <c r="L84" s="106">
        <v>2021</v>
      </c>
    </row>
    <row r="85" spans="2:12">
      <c r="B85" s="10"/>
      <c r="C85" s="51" t="s">
        <v>95</v>
      </c>
      <c r="D85" s="128">
        <f>Parametros!F29</f>
        <v>200000</v>
      </c>
      <c r="E85" s="128">
        <v>12043</v>
      </c>
      <c r="F85" s="128">
        <v>12250</v>
      </c>
      <c r="G85" s="128">
        <v>12314</v>
      </c>
      <c r="H85" s="128">
        <v>12436</v>
      </c>
      <c r="I85" s="128">
        <v>12572</v>
      </c>
      <c r="J85" s="128">
        <v>12760</v>
      </c>
      <c r="K85" s="128">
        <v>12889</v>
      </c>
      <c r="L85" s="128">
        <v>13018</v>
      </c>
    </row>
    <row r="86" spans="2:12">
      <c r="B86" s="10"/>
      <c r="C86" s="51" t="s">
        <v>135</v>
      </c>
      <c r="D86" s="129">
        <f>'Compras Valorizadas'!C15</f>
        <v>2561074.7685185182</v>
      </c>
      <c r="E86" s="129">
        <f>'Compras Valorizadas'!D15</f>
        <v>2610710.8195451391</v>
      </c>
      <c r="F86" s="129">
        <f>'Compras Valorizadas'!E15</f>
        <v>2658509.184061388</v>
      </c>
      <c r="G86" s="129">
        <f>'Compras Valorizadas'!F15</f>
        <v>2721508.7502214862</v>
      </c>
      <c r="H86" s="129">
        <f>'Compras Valorizadas'!G15</f>
        <v>2783872.9028422157</v>
      </c>
      <c r="I86" s="129">
        <f>'Compras Valorizadas'!H15</f>
        <v>2853105.9321684749</v>
      </c>
      <c r="J86" s="129">
        <f>'Compras Valorizadas'!I15</f>
        <v>2910479.430173689</v>
      </c>
      <c r="K86" s="129">
        <f>'Compras Valorizadas'!J15</f>
        <v>2975693.769403677</v>
      </c>
      <c r="L86" s="129">
        <f>'Compras Valorizadas'!K15</f>
        <v>3038057.8297069324</v>
      </c>
    </row>
    <row r="87" spans="2:12">
      <c r="B87" s="10"/>
      <c r="C87" s="51" t="s">
        <v>136</v>
      </c>
      <c r="D87" s="129">
        <f>D90*'Necesidades de insumos'!D55</f>
        <v>2548684.4017094015</v>
      </c>
      <c r="E87" s="129">
        <f>E90*'Necesidades de insumos'!E55</f>
        <v>2421003.5257339743</v>
      </c>
      <c r="F87" s="129">
        <f>F90*'Necesidades de insumos'!F55</f>
        <v>2465316.1699028192</v>
      </c>
      <c r="G87" s="129">
        <f>G90*'Necesidades de insumos'!G55</f>
        <v>2523528.6925121411</v>
      </c>
      <c r="H87" s="129">
        <f>H90*'Necesidades de insumos'!H55</f>
        <v>2581208.2180081988</v>
      </c>
      <c r="I87" s="129">
        <f>I90*'Necesidades de insumos'!I55</f>
        <v>2645241.1681555156</v>
      </c>
      <c r="J87" s="129">
        <f>J90*'Necesidades de insumos'!J55</f>
        <v>2698374.8586218669</v>
      </c>
      <c r="K87" s="129">
        <f>K90*'Necesidades de insumos'!K55</f>
        <v>2758691.7871418553</v>
      </c>
      <c r="L87" s="129">
        <f>L90*'Necesidades de insumos'!L55</f>
        <v>2816377.6889602453</v>
      </c>
    </row>
    <row r="88" spans="2:12">
      <c r="B88" s="10"/>
      <c r="C88" s="51" t="s">
        <v>98</v>
      </c>
      <c r="D88" s="129">
        <f>D85+D86-D87</f>
        <v>212390.36680911668</v>
      </c>
      <c r="E88" s="129">
        <f t="shared" ref="E88:L88" si="15">E85+E86-E87</f>
        <v>201750.2938111648</v>
      </c>
      <c r="F88" s="129">
        <f t="shared" si="15"/>
        <v>205443.01415856881</v>
      </c>
      <c r="G88" s="129">
        <f t="shared" si="15"/>
        <v>210294.05770934513</v>
      </c>
      <c r="H88" s="129">
        <f t="shared" si="15"/>
        <v>215100.68483401695</v>
      </c>
      <c r="I88" s="129">
        <f t="shared" si="15"/>
        <v>220436.76401295932</v>
      </c>
      <c r="J88" s="129">
        <f t="shared" si="15"/>
        <v>224864.57155182213</v>
      </c>
      <c r="K88" s="129">
        <f t="shared" si="15"/>
        <v>229890.98226182163</v>
      </c>
      <c r="L88" s="129">
        <f t="shared" si="15"/>
        <v>234698.14074668707</v>
      </c>
    </row>
    <row r="89" spans="2:12">
      <c r="B89" s="10"/>
      <c r="C89" s="10"/>
      <c r="D89" s="131"/>
      <c r="E89" s="131"/>
      <c r="F89" s="131"/>
      <c r="G89" s="131"/>
      <c r="H89" s="131"/>
      <c r="I89" s="131"/>
      <c r="J89" s="131"/>
      <c r="K89" s="131"/>
      <c r="L89" s="131"/>
    </row>
    <row r="90" spans="2:12">
      <c r="B90" s="10"/>
      <c r="C90" s="65" t="s">
        <v>279</v>
      </c>
      <c r="D90" s="145">
        <f>SUM(D85:D86)/SUM('Plan de Compras'!D85:D86)</f>
        <v>20.185378607752384</v>
      </c>
      <c r="E90" s="145">
        <f>SUM(E85:E86)/SUM('Plan de Compras'!E85:E86)</f>
        <v>18.956163430535781</v>
      </c>
      <c r="F90" s="145">
        <f>SUM(F85:F86)/SUM('Plan de Compras'!F85:F86)</f>
        <v>19.053339892604075</v>
      </c>
      <c r="G90" s="145">
        <f>SUM(G85:G86)/SUM('Plan de Compras'!G85:G86)</f>
        <v>19.242931899877846</v>
      </c>
      <c r="H90" s="145">
        <f>SUM(H85:H86)/SUM('Plan de Compras'!H85:H86)</f>
        <v>19.450948481176759</v>
      </c>
      <c r="I90" s="145">
        <f>SUM(I85:I86)/SUM('Plan de Compras'!I85:I86)</f>
        <v>19.7382582024293</v>
      </c>
      <c r="J90" s="145">
        <f>SUM(J85:J86)/SUM('Plan de Compras'!J85:J86)</f>
        <v>19.935377353292925</v>
      </c>
      <c r="K90" s="145">
        <f>SUM(K85:K86)/SUM('Plan de Compras'!K85:K86)</f>
        <v>20.137134290732583</v>
      </c>
      <c r="L90" s="145">
        <f>SUM(L85:L86)/SUM('Plan de Compras'!L85:L86)</f>
        <v>20.33563747491732</v>
      </c>
    </row>
    <row r="92" spans="2:12" ht="18">
      <c r="C92" s="28" t="s">
        <v>280</v>
      </c>
    </row>
    <row r="94" spans="2:12" ht="18">
      <c r="C94" s="106" t="s">
        <v>107</v>
      </c>
      <c r="D94" s="106">
        <v>2013</v>
      </c>
      <c r="E94" s="106">
        <v>2014</v>
      </c>
      <c r="F94" s="106">
        <v>2015</v>
      </c>
      <c r="G94" s="106">
        <v>2016</v>
      </c>
      <c r="H94" s="106">
        <v>2017</v>
      </c>
      <c r="I94" s="106">
        <v>2018</v>
      </c>
      <c r="J94" s="106">
        <v>2019</v>
      </c>
      <c r="K94" s="106">
        <v>2020</v>
      </c>
      <c r="L94" s="106">
        <v>2021</v>
      </c>
    </row>
    <row r="95" spans="2:12">
      <c r="C95" s="51" t="s">
        <v>32</v>
      </c>
      <c r="D95" s="18">
        <f t="shared" ref="D95:L95" si="16">D7</f>
        <v>18933983.598055553</v>
      </c>
      <c r="E95" s="18">
        <f t="shared" si="16"/>
        <v>19339231.67187462</v>
      </c>
      <c r="F95" s="18">
        <f t="shared" si="16"/>
        <v>19612593.764119849</v>
      </c>
      <c r="G95" s="18">
        <f t="shared" si="16"/>
        <v>20022498.229832299</v>
      </c>
      <c r="H95" s="18">
        <f t="shared" si="16"/>
        <v>20461036.236877587</v>
      </c>
      <c r="I95" s="18">
        <f t="shared" si="16"/>
        <v>21022565.834442683</v>
      </c>
      <c r="J95" s="18">
        <f t="shared" si="16"/>
        <v>21456301.957591135</v>
      </c>
      <c r="K95" s="18">
        <f t="shared" si="16"/>
        <v>21918650.179487661</v>
      </c>
      <c r="L95" s="18">
        <f t="shared" si="16"/>
        <v>22363597.641459525</v>
      </c>
    </row>
    <row r="96" spans="2:12">
      <c r="C96" s="51" t="s">
        <v>33</v>
      </c>
      <c r="D96" s="18">
        <f t="shared" ref="D96:L96" si="17">D17</f>
        <v>21218459.463470962</v>
      </c>
      <c r="E96" s="18">
        <f t="shared" si="17"/>
        <v>21671338.665974516</v>
      </c>
      <c r="F96" s="18">
        <f t="shared" si="17"/>
        <v>21968413.944253854</v>
      </c>
      <c r="G96" s="18">
        <f t="shared" si="17"/>
        <v>22425398.630574256</v>
      </c>
      <c r="H96" s="18">
        <f t="shared" si="17"/>
        <v>22914488.664233714</v>
      </c>
      <c r="I96" s="18">
        <f t="shared" si="17"/>
        <v>23543457.38609292</v>
      </c>
      <c r="J96" s="18">
        <f t="shared" si="17"/>
        <v>24028563.387102455</v>
      </c>
      <c r="K96" s="18">
        <f t="shared" si="17"/>
        <v>24547680.677369487</v>
      </c>
      <c r="L96" s="18">
        <f t="shared" si="17"/>
        <v>25044950.477816869</v>
      </c>
    </row>
    <row r="97" spans="3:12">
      <c r="C97" s="51" t="s">
        <v>34</v>
      </c>
      <c r="D97" s="18">
        <f t="shared" ref="D97:L97" si="18">D27</f>
        <v>551391.04179915204</v>
      </c>
      <c r="E97" s="18">
        <f t="shared" si="18"/>
        <v>563407.20130398241</v>
      </c>
      <c r="F97" s="18">
        <f t="shared" si="18"/>
        <v>571995.71538863704</v>
      </c>
      <c r="G97" s="18">
        <f t="shared" si="18"/>
        <v>584423.64839882124</v>
      </c>
      <c r="H97" s="18">
        <f t="shared" si="18"/>
        <v>597452.0101021342</v>
      </c>
      <c r="I97" s="18">
        <f t="shared" si="18"/>
        <v>613627.94935888122</v>
      </c>
      <c r="J97" s="18">
        <f t="shared" si="18"/>
        <v>626146.4120047827</v>
      </c>
      <c r="K97" s="18">
        <f t="shared" si="18"/>
        <v>639678.77875472594</v>
      </c>
      <c r="L97" s="18">
        <f t="shared" si="18"/>
        <v>652793.6742922269</v>
      </c>
    </row>
    <row r="98" spans="3:12">
      <c r="C98" s="51" t="s">
        <v>35</v>
      </c>
      <c r="D98" s="18">
        <f t="shared" ref="D98:L98" si="19">D37</f>
        <v>7875508.3191302158</v>
      </c>
      <c r="E98" s="18">
        <f t="shared" si="19"/>
        <v>8043833.8772444064</v>
      </c>
      <c r="F98" s="18">
        <f t="shared" si="19"/>
        <v>8156084.000706302</v>
      </c>
      <c r="G98" s="18">
        <f t="shared" si="19"/>
        <v>8326171.1409890875</v>
      </c>
      <c r="H98" s="18">
        <f t="shared" si="19"/>
        <v>8508205.8293603417</v>
      </c>
      <c r="I98" s="18">
        <f t="shared" si="19"/>
        <v>8741796.5999354515</v>
      </c>
      <c r="J98" s="18">
        <f t="shared" si="19"/>
        <v>8922069.8530453779</v>
      </c>
      <c r="K98" s="18">
        <f t="shared" si="19"/>
        <v>9114497.2313172426</v>
      </c>
      <c r="L98" s="18">
        <f t="shared" si="19"/>
        <v>9299347.7101093475</v>
      </c>
    </row>
    <row r="99" spans="3:12">
      <c r="C99" s="51" t="s">
        <v>36</v>
      </c>
      <c r="D99" s="18">
        <f t="shared" ref="D99:L99" si="20">D47</f>
        <v>4377420.5983220208</v>
      </c>
      <c r="E99" s="18">
        <f t="shared" si="20"/>
        <v>4469311.6739524854</v>
      </c>
      <c r="F99" s="18">
        <f t="shared" si="20"/>
        <v>4524383.7805895107</v>
      </c>
      <c r="G99" s="18">
        <f t="shared" si="20"/>
        <v>4614817.4156237449</v>
      </c>
      <c r="H99" s="18">
        <f t="shared" si="20"/>
        <v>4713946.9996677935</v>
      </c>
      <c r="I99" s="18">
        <f t="shared" si="20"/>
        <v>4847918.981954244</v>
      </c>
      <c r="J99" s="18">
        <f t="shared" si="20"/>
        <v>4948176.9770726571</v>
      </c>
      <c r="K99" s="18">
        <f t="shared" si="20"/>
        <v>5053690.573301944</v>
      </c>
      <c r="L99" s="18">
        <f t="shared" si="20"/>
        <v>5154803.188422326</v>
      </c>
    </row>
    <row r="100" spans="3:12">
      <c r="C100" s="51" t="s">
        <v>39</v>
      </c>
      <c r="D100" s="18">
        <f t="shared" ref="D100:L100" si="21">D57</f>
        <v>22931181.047008544</v>
      </c>
      <c r="E100" s="18">
        <f t="shared" si="21"/>
        <v>23428840.781493727</v>
      </c>
      <c r="F100" s="18">
        <f t="shared" si="21"/>
        <v>23822694.284609351</v>
      </c>
      <c r="G100" s="18">
        <f t="shared" si="21"/>
        <v>24331053.142723944</v>
      </c>
      <c r="H100" s="18">
        <f t="shared" si="21"/>
        <v>24877803.134988304</v>
      </c>
      <c r="I100" s="18">
        <f t="shared" si="21"/>
        <v>25568192.81777861</v>
      </c>
      <c r="J100" s="18">
        <f t="shared" si="21"/>
        <v>26101539.762977391</v>
      </c>
      <c r="K100" s="18">
        <f t="shared" si="21"/>
        <v>26650650.13820548</v>
      </c>
      <c r="L100" s="18">
        <f t="shared" si="21"/>
        <v>27197713.559840456</v>
      </c>
    </row>
    <row r="101" spans="3:12">
      <c r="C101" s="51" t="s">
        <v>42</v>
      </c>
      <c r="D101" s="18">
        <f t="shared" ref="D101:L101" si="22">D67</f>
        <v>4489032.2232434638</v>
      </c>
      <c r="E101" s="18">
        <f t="shared" si="22"/>
        <v>4584805.8469851892</v>
      </c>
      <c r="F101" s="18">
        <f t="shared" si="22"/>
        <v>4650696.5184256956</v>
      </c>
      <c r="G101" s="18">
        <f t="shared" si="22"/>
        <v>4746860.9603809966</v>
      </c>
      <c r="H101" s="18">
        <f t="shared" si="22"/>
        <v>4850999.4032103093</v>
      </c>
      <c r="I101" s="18">
        <f t="shared" si="22"/>
        <v>4986714.1459139781</v>
      </c>
      <c r="J101" s="18">
        <f t="shared" si="22"/>
        <v>5090134.356175079</v>
      </c>
      <c r="K101" s="18">
        <f t="shared" si="22"/>
        <v>5198344.0839711437</v>
      </c>
      <c r="L101" s="18">
        <f t="shared" si="22"/>
        <v>5303670.6618661154</v>
      </c>
    </row>
    <row r="102" spans="3:12">
      <c r="C102" s="51" t="s">
        <v>43</v>
      </c>
      <c r="D102" s="18">
        <f t="shared" ref="D102:L102" si="23">D77</f>
        <v>4277138.1636996903</v>
      </c>
      <c r="E102" s="18">
        <f t="shared" si="23"/>
        <v>4153060.7050374667</v>
      </c>
      <c r="F102" s="18">
        <f t="shared" si="23"/>
        <v>4191476.2163096019</v>
      </c>
      <c r="G102" s="18">
        <f t="shared" si="23"/>
        <v>4278681.0174806295</v>
      </c>
      <c r="H102" s="18">
        <f t="shared" si="23"/>
        <v>4368775.0436314652</v>
      </c>
      <c r="I102" s="18">
        <f t="shared" si="23"/>
        <v>4488582.4550487725</v>
      </c>
      <c r="J102" s="18">
        <f t="shared" si="23"/>
        <v>4577420.0595789729</v>
      </c>
      <c r="K102" s="18">
        <f t="shared" si="23"/>
        <v>4679878.2507109521</v>
      </c>
      <c r="L102" s="18">
        <f t="shared" si="23"/>
        <v>4772442.5836406546</v>
      </c>
    </row>
    <row r="103" spans="3:12">
      <c r="C103" s="51" t="s">
        <v>37</v>
      </c>
      <c r="D103" s="18">
        <f t="shared" ref="D103:L103" si="24">D87</f>
        <v>2548684.4017094015</v>
      </c>
      <c r="E103" s="18">
        <f t="shared" si="24"/>
        <v>2421003.5257339743</v>
      </c>
      <c r="F103" s="18">
        <f t="shared" si="24"/>
        <v>2465316.1699028192</v>
      </c>
      <c r="G103" s="18">
        <f t="shared" si="24"/>
        <v>2523528.6925121411</v>
      </c>
      <c r="H103" s="18">
        <f t="shared" si="24"/>
        <v>2581208.2180081988</v>
      </c>
      <c r="I103" s="18">
        <f t="shared" si="24"/>
        <v>2645241.1681555156</v>
      </c>
      <c r="J103" s="18">
        <f t="shared" si="24"/>
        <v>2698374.8586218669</v>
      </c>
      <c r="K103" s="18">
        <f t="shared" si="24"/>
        <v>2758691.7871418553</v>
      </c>
      <c r="L103" s="18">
        <f t="shared" si="24"/>
        <v>2816377.6889602453</v>
      </c>
    </row>
    <row r="104" spans="3:12">
      <c r="C104" s="51" t="s">
        <v>38</v>
      </c>
      <c r="D104" s="18">
        <f>'Necesidades de insumos'!D56</f>
        <v>13357276.388888888</v>
      </c>
      <c r="E104" s="18">
        <f>'Necesidades de insumos'!E56</f>
        <v>13495503.050000001</v>
      </c>
      <c r="F104" s="18">
        <f>'Necesidades de insumos'!F56</f>
        <v>13606585.826388888</v>
      </c>
      <c r="G104" s="18">
        <f>'Necesidades de insumos'!G56</f>
        <v>13756090.258085275</v>
      </c>
      <c r="H104" s="18">
        <f>'Necesidades de insumos'!H56</f>
        <v>13904550.680437244</v>
      </c>
      <c r="I104" s="18">
        <f>'Necesidades de insumos'!I56</f>
        <v>14080761.313839104</v>
      </c>
      <c r="J104" s="18">
        <f>'Necesidades de insumos'!J56</f>
        <v>14223944.234560274</v>
      </c>
      <c r="K104" s="18">
        <f>'Necesidades de insumos'!K56</f>
        <v>14386252.932131916</v>
      </c>
      <c r="L104" s="18">
        <f>'Necesidades de insumos'!L56</f>
        <v>14532181.506581794</v>
      </c>
    </row>
    <row r="106" spans="3:12">
      <c r="C106" s="149" t="s">
        <v>157</v>
      </c>
      <c r="D106" s="138">
        <f>SUM(D95:D104)</f>
        <v>100560075.24532789</v>
      </c>
      <c r="E106" s="138">
        <f t="shared" ref="E106:L106" si="25">SUM(E95:E104)</f>
        <v>102170336.99960037</v>
      </c>
      <c r="F106" s="138">
        <f t="shared" si="25"/>
        <v>103570240.22069451</v>
      </c>
      <c r="G106" s="138">
        <f t="shared" si="25"/>
        <v>105609523.13660121</v>
      </c>
      <c r="H106" s="138">
        <f t="shared" si="25"/>
        <v>107778466.2205171</v>
      </c>
      <c r="I106" s="138">
        <f t="shared" si="25"/>
        <v>110538858.65252016</v>
      </c>
      <c r="J106" s="138">
        <f t="shared" si="25"/>
        <v>112672671.85872999</v>
      </c>
      <c r="K106" s="138">
        <f t="shared" si="25"/>
        <v>114948014.63239241</v>
      </c>
      <c r="L106" s="138">
        <f t="shared" si="25"/>
        <v>117137878.69298954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opLeftCell="A19" workbookViewId="0">
      <selection activeCell="D44" sqref="D44"/>
    </sheetView>
  </sheetViews>
  <sheetFormatPr baseColWidth="10" defaultRowHeight="15" x14ac:dyDescent="0"/>
  <cols>
    <col min="2" max="2" width="16.1640625" customWidth="1"/>
    <col min="3" max="3" width="14.6640625" customWidth="1"/>
    <col min="4" max="12" width="15.5" customWidth="1"/>
  </cols>
  <sheetData>
    <row r="2" spans="2:13" ht="18">
      <c r="B2" s="28" t="s">
        <v>504</v>
      </c>
    </row>
    <row r="4" spans="2:13" ht="18">
      <c r="B4" s="66" t="str">
        <f>'Necesidades de insumos'!B4</f>
        <v>PRODUCTO 1</v>
      </c>
      <c r="C4" s="106" t="str">
        <f>'Necesidades de insumos'!C4</f>
        <v>GRISSINI</v>
      </c>
      <c r="D4" s="106">
        <f>'Necesidades de insumos'!D4</f>
        <v>2013</v>
      </c>
      <c r="E4" s="106">
        <f>'Necesidades de insumos'!E4</f>
        <v>2014</v>
      </c>
      <c r="F4" s="106">
        <f>'Necesidades de insumos'!F4</f>
        <v>2015</v>
      </c>
      <c r="G4" s="106">
        <f>'Necesidades de insumos'!G4</f>
        <v>2016</v>
      </c>
      <c r="H4" s="106">
        <f>'Necesidades de insumos'!H4</f>
        <v>2017</v>
      </c>
      <c r="I4" s="106">
        <f>'Necesidades de insumos'!I4</f>
        <v>2018</v>
      </c>
      <c r="J4" s="106">
        <f>'Necesidades de insumos'!J4</f>
        <v>2019</v>
      </c>
      <c r="K4" s="106">
        <f>'Necesidades de insumos'!K4</f>
        <v>2020</v>
      </c>
      <c r="L4" s="106">
        <f>'Necesidades de insumos'!L4</f>
        <v>2021</v>
      </c>
    </row>
    <row r="5" spans="2:13">
      <c r="C5" s="23" t="str">
        <f>'Necesidades de insumos'!C5</f>
        <v>Harina</v>
      </c>
      <c r="D5" s="18">
        <f>'Necesidades de insumos'!D5*'Insumos Valorizados'!D$10</f>
        <v>7455667.772805986</v>
      </c>
      <c r="E5" s="18">
        <f>'Necesidades de insumos'!E5*'Insumos Valorizados'!E$10</f>
        <v>7611617.6398325264</v>
      </c>
      <c r="F5" s="18">
        <f>'Necesidades de insumos'!F5*'Insumos Valorizados'!F$10</f>
        <v>7687516.6396485521</v>
      </c>
      <c r="G5" s="18">
        <f>'Necesidades de insumos'!G5*'Insumos Valorizados'!G$10</f>
        <v>7842582.675306011</v>
      </c>
      <c r="H5" s="18">
        <f>'Necesidades de insumos'!H5*'Insumos Valorizados'!H$10</f>
        <v>8007335.7803961588</v>
      </c>
      <c r="I5" s="18">
        <f>'Necesidades de insumos'!I5*'Insumos Valorizados'!I$10</f>
        <v>8223829.273786746</v>
      </c>
      <c r="J5" s="18">
        <f>'Necesidades de insumos'!J5*'Insumos Valorizados'!J$10</f>
        <v>8390663.0430568662</v>
      </c>
      <c r="K5" s="18">
        <f>'Necesidades de insumos'!K5*'Insumos Valorizados'!K$10</f>
        <v>8577893.9541043006</v>
      </c>
      <c r="L5" s="18">
        <f>'Necesidades de insumos'!L5*'Insumos Valorizados'!L$10</f>
        <v>8748893.49695017</v>
      </c>
      <c r="M5" s="14"/>
    </row>
    <row r="6" spans="2:13">
      <c r="C6" s="23" t="str">
        <f>'Necesidades de insumos'!C6</f>
        <v>Azucar</v>
      </c>
      <c r="D6" s="18">
        <f>'Necesidades de insumos'!D6*'Insumos Valorizados'!D$20</f>
        <v>9593705.3833388947</v>
      </c>
      <c r="E6" s="18">
        <f>'Necesidades de insumos'!E6*'Insumos Valorizados'!E$20</f>
        <v>9794361.6121284403</v>
      </c>
      <c r="F6" s="18">
        <f>'Necesidades de insumos'!F6*'Insumos Valorizados'!F$20</f>
        <v>9892023.2797111887</v>
      </c>
      <c r="G6" s="18">
        <f>'Necesidades de insumos'!G6*'Insumos Valorizados'!G$20</f>
        <v>10091557.685581518</v>
      </c>
      <c r="H6" s="18">
        <f>'Necesidades de insumos'!H6*'Insumos Valorizados'!H$20</f>
        <v>10303556.171609079</v>
      </c>
      <c r="I6" s="18">
        <f>'Necesidades de insumos'!I6*'Insumos Valorizados'!I$20</f>
        <v>10582133.243746437</v>
      </c>
      <c r="J6" s="18">
        <f>'Necesidades de insumos'!J6*'Insumos Valorizados'!J$20</f>
        <v>10796808.818783518</v>
      </c>
      <c r="K6" s="18">
        <f>'Necesidades de insumos'!K6*'Insumos Valorizados'!K$20</f>
        <v>11037731.664347179</v>
      </c>
      <c r="L6" s="18">
        <f>'Necesidades de insumos'!L6*'Insumos Valorizados'!L$20</f>
        <v>11257767.020431725</v>
      </c>
      <c r="M6" s="14"/>
    </row>
    <row r="7" spans="2:13">
      <c r="C7" s="23" t="str">
        <f>'Necesidades de insumos'!C7</f>
        <v>Huevo</v>
      </c>
      <c r="D7" s="18">
        <f>'Necesidades de insumos'!D7*'Insumos Valorizados'!D$30</f>
        <v>137119.78769341146</v>
      </c>
      <c r="E7" s="18">
        <f>'Necesidades de insumos'!E7*'Insumos Valorizados'!E$30</f>
        <v>140001.66381440291</v>
      </c>
      <c r="F7" s="18">
        <f>'Necesidades de insumos'!F7*'Insumos Valorizados'!F$30</f>
        <v>141357.83833898211</v>
      </c>
      <c r="G7" s="18">
        <f>'Necesidades de insumos'!G7*'Insumos Valorizados'!G$30</f>
        <v>144239.95198106547</v>
      </c>
      <c r="H7" s="18">
        <f>'Necesidades de insumos'!H7*'Insumos Valorizados'!H$30</f>
        <v>147280.48530988678</v>
      </c>
      <c r="I7" s="18">
        <f>'Necesidades de insumos'!I7*'Insumos Valorizados'!I$30</f>
        <v>151292.38242899219</v>
      </c>
      <c r="J7" s="18">
        <f>'Necesidades de insumos'!J7*'Insumos Valorizados'!J$30</f>
        <v>154327.81625988401</v>
      </c>
      <c r="K7" s="18">
        <f>'Necesidades de insumos'!K7*'Insumos Valorizados'!K$30</f>
        <v>157767.83459175646</v>
      </c>
      <c r="L7" s="18">
        <f>'Necesidades de insumos'!L7*'Insumos Valorizados'!L$30</f>
        <v>160912.71974039864</v>
      </c>
      <c r="M7" s="14"/>
    </row>
    <row r="8" spans="2:13">
      <c r="C8" s="23" t="str">
        <f>'Necesidades de insumos'!C8</f>
        <v>Manteca</v>
      </c>
      <c r="D8" s="18">
        <f>'Necesidades de insumos'!D8*'Insumos Valorizados'!D$40</f>
        <v>3289278.5538020385</v>
      </c>
      <c r="E8" s="18">
        <f>'Necesidades de insumos'!E8*'Insumos Valorizados'!E$40</f>
        <v>3358067.5571354707</v>
      </c>
      <c r="F8" s="18">
        <f>'Necesidades de insumos'!F8*'Insumos Valorizados'!F$40</f>
        <v>3391551.2626272188</v>
      </c>
      <c r="G8" s="18">
        <f>'Necesidades de insumos'!G8*'Insumos Valorizados'!G$40</f>
        <v>3459962.8069777745</v>
      </c>
      <c r="H8" s="18">
        <f>'Necesidades de insumos'!H8*'Insumos Valorizados'!H$40</f>
        <v>3532648.0071268813</v>
      </c>
      <c r="I8" s="18">
        <f>'Necesidades de insumos'!I8*'Insumos Valorizados'!I$40</f>
        <v>3628160.0093097328</v>
      </c>
      <c r="J8" s="18">
        <f>'Necesidades de insumos'!J8*'Insumos Valorizados'!J$40</f>
        <v>3701763.0795835843</v>
      </c>
      <c r="K8" s="18">
        <f>'Necesidades de insumos'!K8*'Insumos Valorizados'!K$40</f>
        <v>3784365.0356998784</v>
      </c>
      <c r="L8" s="18">
        <f>'Necesidades de insumos'!L8*'Insumos Valorizados'!L$40</f>
        <v>3859805.9002094581</v>
      </c>
      <c r="M8" s="14"/>
    </row>
    <row r="9" spans="2:13">
      <c r="C9" s="23" t="str">
        <f>'Necesidades de insumos'!C9</f>
        <v>Aceite</v>
      </c>
      <c r="D9" s="18">
        <f>'Necesidades de insumos'!D9*'Insumos Valorizados'!D$50</f>
        <v>2466936.7155309143</v>
      </c>
      <c r="E9" s="18">
        <f>'Necesidades de insumos'!E9*'Insumos Valorizados'!E$50</f>
        <v>2518548.1096803104</v>
      </c>
      <c r="F9" s="18">
        <f>'Necesidades de insumos'!F9*'Insumos Valorizados'!F$50</f>
        <v>2543661.4174356931</v>
      </c>
      <c r="G9" s="18">
        <f>'Necesidades de insumos'!G9*'Insumos Valorizados'!G$50</f>
        <v>2594970.2139384267</v>
      </c>
      <c r="H9" s="18">
        <f>'Necesidades de insumos'!H9*'Insumos Valorizados'!H$50</f>
        <v>2649484.9787464547</v>
      </c>
      <c r="I9" s="18">
        <f>'Necesidades de insumos'!I9*'Insumos Valorizados'!I$50</f>
        <v>2721122.9648723989</v>
      </c>
      <c r="J9" s="18">
        <f>'Necesidades de insumos'!J9*'Insumos Valorizados'!J$50</f>
        <v>2776322.6740276567</v>
      </c>
      <c r="K9" s="18">
        <f>'Necesidades de insumos'!K9*'Insumos Valorizados'!K$50</f>
        <v>2838273.2517968342</v>
      </c>
      <c r="L9" s="18">
        <f>'Necesidades de insumos'!L9*'Insumos Valorizados'!L$50</f>
        <v>2894853.7519448912</v>
      </c>
      <c r="M9" s="14"/>
    </row>
    <row r="10" spans="2:13">
      <c r="C10" s="23" t="str">
        <f>'Necesidades de insumos'!C10</f>
        <v>Frutas Secas</v>
      </c>
      <c r="D10" s="18">
        <f>'Necesidades de insumos'!D10*'Insumos Valorizados'!D$60</f>
        <v>0</v>
      </c>
      <c r="E10" s="18">
        <f>'Necesidades de insumos'!E10*'Insumos Valorizados'!E$60</f>
        <v>0</v>
      </c>
      <c r="F10" s="18">
        <f>'Necesidades de insumos'!F10*'Insumos Valorizados'!F$60</f>
        <v>0</v>
      </c>
      <c r="G10" s="18">
        <f>'Necesidades de insumos'!G10*'Insumos Valorizados'!G$60</f>
        <v>0</v>
      </c>
      <c r="H10" s="18">
        <f>'Necesidades de insumos'!H10*'Insumos Valorizados'!H$60</f>
        <v>0</v>
      </c>
      <c r="I10" s="18">
        <f>'Necesidades de insumos'!I10*'Insumos Valorizados'!I$60</f>
        <v>0</v>
      </c>
      <c r="J10" s="18">
        <f>'Necesidades de insumos'!J10*'Insumos Valorizados'!J$60</f>
        <v>0</v>
      </c>
      <c r="K10" s="18">
        <f>'Necesidades de insumos'!K10*'Insumos Valorizados'!K$60</f>
        <v>0</v>
      </c>
      <c r="L10" s="18">
        <f>'Necesidades de insumos'!L10*'Insumos Valorizados'!L$60</f>
        <v>0</v>
      </c>
      <c r="M10" s="14"/>
    </row>
    <row r="11" spans="2:13">
      <c r="C11" s="23" t="str">
        <f>'Necesidades de insumos'!C11</f>
        <v>Preservantes</v>
      </c>
      <c r="D11" s="18">
        <f>'Necesidades de insumos'!D11*'Insumos Valorizados'!D$70</f>
        <v>1425356.3811950609</v>
      </c>
      <c r="E11" s="18">
        <f>'Necesidades de insumos'!E11*'Insumos Valorizados'!E$70</f>
        <v>1455162.7418262616</v>
      </c>
      <c r="F11" s="18">
        <f>'Necesidades de insumos'!F11*'Insumos Valorizados'!F$70</f>
        <v>1469672.493773262</v>
      </c>
      <c r="G11" s="18">
        <f>'Necesidades de insumos'!G11*'Insumos Valorizados'!G$70</f>
        <v>1499317.0339641422</v>
      </c>
      <c r="H11" s="18">
        <f>'Necesidades de insumos'!H11*'Insumos Valorizados'!H$70</f>
        <v>1530814.2224931987</v>
      </c>
      <c r="I11" s="18">
        <f>'Necesidades de insumos'!I11*'Insumos Valorizados'!I$70</f>
        <v>1572203.6265251827</v>
      </c>
      <c r="J11" s="18">
        <f>'Necesidades de insumos'!J11*'Insumos Valorizados'!J$70</f>
        <v>1604097.5640583062</v>
      </c>
      <c r="K11" s="18">
        <f>'Necesidades de insumos'!K11*'Insumos Valorizados'!K$70</f>
        <v>1639891.1283694438</v>
      </c>
      <c r="L11" s="18">
        <f>'Necesidades de insumos'!L11*'Insumos Valorizados'!L$70</f>
        <v>1672582.5008010711</v>
      </c>
      <c r="M11" s="14"/>
    </row>
    <row r="12" spans="2:13">
      <c r="C12" s="23" t="str">
        <f>'Necesidades de insumos'!C12</f>
        <v>Queso</v>
      </c>
      <c r="D12" s="18">
        <f>'Necesidades de insumos'!D12*'Insumos Valorizados'!D$80</f>
        <v>4277138.1636996903</v>
      </c>
      <c r="E12" s="18">
        <f>'Necesidades de insumos'!E12*'Insumos Valorizados'!E$80</f>
        <v>4153060.7050374667</v>
      </c>
      <c r="F12" s="18">
        <f>'Necesidades de insumos'!F12*'Insumos Valorizados'!F$80</f>
        <v>4191476.2163096019</v>
      </c>
      <c r="G12" s="18">
        <f>'Necesidades de insumos'!G12*'Insumos Valorizados'!G$80</f>
        <v>4278681.0174806295</v>
      </c>
      <c r="H12" s="18">
        <f>'Necesidades de insumos'!H12*'Insumos Valorizados'!H$80</f>
        <v>4368775.0436314652</v>
      </c>
      <c r="I12" s="18">
        <f>'Necesidades de insumos'!I12*'Insumos Valorizados'!I$80</f>
        <v>4488582.4550487725</v>
      </c>
      <c r="J12" s="18">
        <f>'Necesidades de insumos'!J12*'Insumos Valorizados'!J$80</f>
        <v>4577420.0595789729</v>
      </c>
      <c r="K12" s="18">
        <f>'Necesidades de insumos'!K12*'Insumos Valorizados'!K$80</f>
        <v>4679878.2507109521</v>
      </c>
      <c r="L12" s="18">
        <f>'Necesidades de insumos'!L12*'Insumos Valorizados'!L$80</f>
        <v>4772442.5836406546</v>
      </c>
      <c r="M12" s="14"/>
    </row>
    <row r="13" spans="2:13">
      <c r="C13" s="23" t="str">
        <f>'Necesidades de insumos'!C13</f>
        <v>Pisco</v>
      </c>
      <c r="D13" s="18">
        <f>'Necesidades de insumos'!D13*'Insumos Valorizados'!D$90</f>
        <v>0</v>
      </c>
      <c r="E13" s="18">
        <f>'Necesidades de insumos'!E13*'Insumos Valorizados'!E$90</f>
        <v>0</v>
      </c>
      <c r="F13" s="18">
        <f>'Necesidades de insumos'!F13*'Insumos Valorizados'!F$90</f>
        <v>0</v>
      </c>
      <c r="G13" s="18">
        <f>'Necesidades de insumos'!G13*'Insumos Valorizados'!G$90</f>
        <v>0</v>
      </c>
      <c r="H13" s="18">
        <f>'Necesidades de insumos'!H13*'Insumos Valorizados'!H$90</f>
        <v>0</v>
      </c>
      <c r="I13" s="18">
        <f>'Necesidades de insumos'!I13*'Insumos Valorizados'!I$90</f>
        <v>0</v>
      </c>
      <c r="J13" s="18">
        <f>'Necesidades de insumos'!J13*'Insumos Valorizados'!J$90</f>
        <v>0</v>
      </c>
      <c r="K13" s="18">
        <f>'Necesidades de insumos'!K13*'Insumos Valorizados'!K$90</f>
        <v>0</v>
      </c>
      <c r="L13" s="18">
        <f>'Necesidades de insumos'!L13*'Insumos Valorizados'!L$90</f>
        <v>0</v>
      </c>
      <c r="M13" s="14"/>
    </row>
    <row r="14" spans="2:13">
      <c r="C14" s="23" t="str">
        <f>'Necesidades de insumos'!C14</f>
        <v>Otros</v>
      </c>
      <c r="D14" s="18">
        <f>'Necesidades de insumos'!D14</f>
        <v>5909933.333333333</v>
      </c>
      <c r="E14" s="18">
        <f>'Necesidades de insumos'!E14</f>
        <v>5968689.2666666666</v>
      </c>
      <c r="F14" s="18">
        <f>'Necesidades de insumos'!F14</f>
        <v>5995583.5129999984</v>
      </c>
      <c r="G14" s="18">
        <f>'Necesidades de insumos'!G14</f>
        <v>6058024.0491299992</v>
      </c>
      <c r="H14" s="18">
        <f>'Necesidades de insumos'!H14</f>
        <v>6118604.2896212982</v>
      </c>
      <c r="I14" s="18">
        <f>'Necesidades de insumos'!I14</f>
        <v>6193036.3793967748</v>
      </c>
      <c r="J14" s="18">
        <f>'Necesidades de insumos'!J14</f>
        <v>6253947.8165077223</v>
      </c>
      <c r="K14" s="18">
        <f>'Necesidades de insumos'!K14</f>
        <v>6330026.3441090304</v>
      </c>
      <c r="L14" s="18">
        <f>'Necesidades de insumos'!L14</f>
        <v>6392285.1422088724</v>
      </c>
      <c r="M14" s="14"/>
    </row>
    <row r="15" spans="2:13"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2:13">
      <c r="C16" s="23" t="s">
        <v>12</v>
      </c>
      <c r="D16" s="138">
        <f>SUM(D5:D14)</f>
        <v>34555136.091399327</v>
      </c>
      <c r="E16" s="138">
        <f t="shared" ref="E16:L16" si="0">SUM(E5:E14)</f>
        <v>34999509.296121545</v>
      </c>
      <c r="F16" s="138">
        <f t="shared" si="0"/>
        <v>35312842.660844497</v>
      </c>
      <c r="G16" s="138">
        <f t="shared" si="0"/>
        <v>35969335.434359565</v>
      </c>
      <c r="H16" s="138">
        <f t="shared" si="0"/>
        <v>36658498.978934422</v>
      </c>
      <c r="I16" s="138">
        <f t="shared" si="0"/>
        <v>37560360.335115038</v>
      </c>
      <c r="J16" s="138">
        <f t="shared" si="0"/>
        <v>38255350.871856511</v>
      </c>
      <c r="K16" s="138">
        <f t="shared" si="0"/>
        <v>39045827.463729374</v>
      </c>
      <c r="L16" s="138">
        <f t="shared" si="0"/>
        <v>39759543.115927242</v>
      </c>
      <c r="M16" s="14"/>
    </row>
    <row r="17" spans="2:13"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2:13" ht="18">
      <c r="B18" s="66" t="str">
        <f>'Necesidades de insumos'!B17</f>
        <v>PRODUCTO 2</v>
      </c>
      <c r="C18" s="106" t="str">
        <f>'Necesidades de insumos'!C17</f>
        <v>KAMISH</v>
      </c>
      <c r="D18" s="245">
        <f>'Necesidades de insumos'!D17</f>
        <v>2013</v>
      </c>
      <c r="E18" s="245">
        <f>'Necesidades de insumos'!E17</f>
        <v>2014</v>
      </c>
      <c r="F18" s="245">
        <f>'Necesidades de insumos'!F17</f>
        <v>2015</v>
      </c>
      <c r="G18" s="245">
        <f>'Necesidades de insumos'!G17</f>
        <v>2016</v>
      </c>
      <c r="H18" s="245">
        <f>'Necesidades de insumos'!H17</f>
        <v>2017</v>
      </c>
      <c r="I18" s="245">
        <f>'Necesidades de insumos'!I17</f>
        <v>2018</v>
      </c>
      <c r="J18" s="245">
        <f>'Necesidades de insumos'!J17</f>
        <v>2019</v>
      </c>
      <c r="K18" s="245">
        <f>'Necesidades de insumos'!K17</f>
        <v>2020</v>
      </c>
      <c r="L18" s="245">
        <f>'Necesidades de insumos'!L17</f>
        <v>2021</v>
      </c>
    </row>
    <row r="19" spans="2:13">
      <c r="C19" s="23" t="str">
        <f>'Necesidades de insumos'!C18</f>
        <v>Harina</v>
      </c>
      <c r="D19" s="18">
        <f>'Necesidades de insumos'!D18*'Insumos Valorizados'!D$10</f>
        <v>6279154.69637571</v>
      </c>
      <c r="E19" s="18">
        <f>'Necesidades de insumos'!E18*'Insumos Valorizados'!E$10</f>
        <v>6411514.2772635259</v>
      </c>
      <c r="F19" s="18">
        <f>'Necesidades de insumos'!F18*'Insumos Valorizados'!F$10</f>
        <v>6509979.7373675592</v>
      </c>
      <c r="G19" s="18">
        <f>'Necesidades de insumos'!G18*'Insumos Valorizados'!G$10</f>
        <v>6638569.5727287605</v>
      </c>
      <c r="H19" s="18">
        <f>'Necesidades de insumos'!H18*'Insumos Valorizados'!H$10</f>
        <v>6785201.3899866669</v>
      </c>
      <c r="I19" s="18">
        <f>'Necesidades de insumos'!I18*'Insumos Valorizados'!I$10</f>
        <v>6990061.9093116261</v>
      </c>
      <c r="J19" s="18">
        <f>'Necesidades de insumos'!J18*'Insumos Valorizados'!J$10</f>
        <v>7138160.2592384322</v>
      </c>
      <c r="K19" s="18">
        <f>'Necesidades de insumos'!K18*'Insumos Valorizados'!K$10</f>
        <v>7281339.5024842881</v>
      </c>
      <c r="L19" s="18">
        <f>'Necesidades de insumos'!L18*'Insumos Valorizados'!L$10</f>
        <v>7427702.3131161612</v>
      </c>
    </row>
    <row r="20" spans="2:13">
      <c r="C20" s="23" t="str">
        <f>'Necesidades de insumos'!C19</f>
        <v>Azucar</v>
      </c>
      <c r="D20" s="18">
        <f>'Necesidades de insumos'!D19*'Insumos Valorizados'!D$20</f>
        <v>6527529.1928828871</v>
      </c>
      <c r="E20" s="18">
        <f>'Necesidades de insumos'!E19*'Insumos Valorizados'!E$20</f>
        <v>6665114.1881008921</v>
      </c>
      <c r="F20" s="18">
        <f>'Necesidades de insumos'!F19*'Insumos Valorizados'!F$20</f>
        <v>6767472.6279464709</v>
      </c>
      <c r="G20" s="18">
        <f>'Necesidades de insumos'!G19*'Insumos Valorizados'!G$20</f>
        <v>6901149.2926171878</v>
      </c>
      <c r="H20" s="18">
        <f>'Necesidades de insumos'!H19*'Insumos Valorizados'!H$20</f>
        <v>7053580.9514033552</v>
      </c>
      <c r="I20" s="18">
        <f>'Necesidades de insumos'!I19*'Insumos Valorizados'!I$20</f>
        <v>7266545.0793779055</v>
      </c>
      <c r="J20" s="18">
        <f>'Necesidades de insumos'!J19*'Insumos Valorizados'!J$20</f>
        <v>7420501.1160113858</v>
      </c>
      <c r="K20" s="18">
        <f>'Necesidades de insumos'!K19*'Insumos Valorizados'!K$20</f>
        <v>7569344.1279388014</v>
      </c>
      <c r="L20" s="18">
        <f>'Necesidades de insumos'!L19*'Insumos Valorizados'!L$20</f>
        <v>7721495.5743379388</v>
      </c>
    </row>
    <row r="21" spans="2:13">
      <c r="C21" s="23" t="str">
        <f>'Necesidades de insumos'!C20</f>
        <v>Huevo</v>
      </c>
      <c r="D21" s="18">
        <f>'Necesidades de insumos'!D20*'Insumos Valorizados'!D$30</f>
        <v>159285.68987041665</v>
      </c>
      <c r="E21" s="18">
        <f>'Necesidades de insumos'!E20*'Insumos Valorizados'!E$30</f>
        <v>162659.27797262915</v>
      </c>
      <c r="F21" s="18">
        <f>'Necesidades de insumos'!F20*'Insumos Valorizados'!F$30</f>
        <v>165110.79050412716</v>
      </c>
      <c r="G21" s="18">
        <f>'Necesidades de insumos'!G20*'Insumos Valorizados'!G$30</f>
        <v>168408.09683399287</v>
      </c>
      <c r="H21" s="18">
        <f>'Necesidades de insumos'!H20*'Insumos Valorizados'!H$30</f>
        <v>172140.04086691295</v>
      </c>
      <c r="I21" s="18">
        <f>'Necesidades de insumos'!I20*'Insumos Valorizados'!I$30</f>
        <v>177372.37926322041</v>
      </c>
      <c r="J21" s="18">
        <f>'Necesidades de insumos'!J20*'Insumos Valorizados'!J$30</f>
        <v>181090.72927246598</v>
      </c>
      <c r="K21" s="18">
        <f>'Necesidades de insumos'!K20*'Insumos Valorizados'!K$30</f>
        <v>184718.78631294088</v>
      </c>
      <c r="L21" s="18">
        <f>'Necesidades de insumos'!L20*'Insumos Valorizados'!L$30</f>
        <v>188431.59696152832</v>
      </c>
    </row>
    <row r="22" spans="2:13">
      <c r="C22" s="23" t="str">
        <f>'Necesidades de insumos'!C21</f>
        <v>Manteca</v>
      </c>
      <c r="D22" s="18">
        <f>'Necesidades de insumos'!D21*'Insumos Valorizados'!D$40</f>
        <v>2547334.7668332136</v>
      </c>
      <c r="E22" s="18">
        <f>'Necesidades de insumos'!E21*'Insumos Valorizados'!E$40</f>
        <v>2601020.7276349659</v>
      </c>
      <c r="F22" s="18">
        <f>'Necesidades de insumos'!F21*'Insumos Valorizados'!F$40</f>
        <v>2640965.2580415136</v>
      </c>
      <c r="G22" s="18">
        <f>'Necesidades de insumos'!G21*'Insumos Valorizados'!G$40</f>
        <v>2693131.5650836066</v>
      </c>
      <c r="H22" s="18">
        <f>'Necesidades de insumos'!H21*'Insumos Valorizados'!H$40</f>
        <v>2752617.0944541208</v>
      </c>
      <c r="I22" s="18">
        <f>'Necesidades de insumos'!I21*'Insumos Valorizados'!I$40</f>
        <v>2835724.9403087562</v>
      </c>
      <c r="J22" s="18">
        <f>'Necesidades de insumos'!J21*'Insumos Valorizados'!J$40</f>
        <v>2895805.357373469</v>
      </c>
      <c r="K22" s="18">
        <f>'Necesidades de insumos'!K21*'Insumos Valorizados'!K$40</f>
        <v>2953890.3083697665</v>
      </c>
      <c r="L22" s="18">
        <f>'Necesidades de insumos'!L21*'Insumos Valorizados'!L$40</f>
        <v>3013266.6160527677</v>
      </c>
    </row>
    <row r="23" spans="2:13">
      <c r="C23" s="23" t="str">
        <f>'Necesidades de insumos'!C22</f>
        <v>Aceite</v>
      </c>
      <c r="D23" s="18">
        <f>'Necesidades de insumos'!D22*'Insumos Valorizados'!D$50</f>
        <v>1910483.8827911068</v>
      </c>
      <c r="E23" s="18">
        <f>'Necesidades de insumos'!E22*'Insumos Valorizados'!E$50</f>
        <v>1950763.5642721755</v>
      </c>
      <c r="F23" s="18">
        <f>'Necesidades de insumos'!F22*'Insumos Valorizados'!F$50</f>
        <v>1980722.3631538171</v>
      </c>
      <c r="G23" s="18">
        <f>'Necesidades de insumos'!G22*'Insumos Valorizados'!G$50</f>
        <v>2019847.2016853183</v>
      </c>
      <c r="H23" s="18">
        <f>'Necesidades de insumos'!H22*'Insumos Valorizados'!H$50</f>
        <v>2064462.0209213395</v>
      </c>
      <c r="I23" s="18">
        <f>'Necesidades de insumos'!I22*'Insumos Valorizados'!I$50</f>
        <v>2126796.0170818451</v>
      </c>
      <c r="J23" s="18">
        <f>'Necesidades de insumos'!J22*'Insumos Valorizados'!J$50</f>
        <v>2171854.3030450013</v>
      </c>
      <c r="K23" s="18">
        <f>'Necesidades de insumos'!K22*'Insumos Valorizados'!K$50</f>
        <v>2215417.3215051093</v>
      </c>
      <c r="L23" s="18">
        <f>'Necesidades de insumos'!L22*'Insumos Valorizados'!L$50</f>
        <v>2259949.4364774344</v>
      </c>
    </row>
    <row r="24" spans="2:13">
      <c r="C24" s="23" t="str">
        <f>'Necesidades de insumos'!C23</f>
        <v>Frutas Secas</v>
      </c>
      <c r="D24" s="18">
        <f>'Necesidades de insumos'!D23*'Insumos Valorizados'!D$60</f>
        <v>12736691.730361188</v>
      </c>
      <c r="E24" s="18">
        <f>'Necesidades de insumos'!E23*'Insumos Valorizados'!E$60</f>
        <v>13005108.734425293</v>
      </c>
      <c r="F24" s="18">
        <f>'Necesidades de insumos'!F23*'Insumos Valorizados'!F$60</f>
        <v>13204843.248482499</v>
      </c>
      <c r="G24" s="18">
        <f>'Necesidades de insumos'!G23*'Insumos Valorizados'!G$60</f>
        <v>13465664.174797373</v>
      </c>
      <c r="H24" s="18">
        <f>'Necesidades de insumos'!H23*'Insumos Valorizados'!H$60</f>
        <v>13763093.230638769</v>
      </c>
      <c r="I24" s="18">
        <f>'Necesidades de insumos'!I23*'Insumos Valorizados'!I$60</f>
        <v>14178630.171903983</v>
      </c>
      <c r="J24" s="18">
        <f>'Necesidades de insumos'!J23*'Insumos Valorizados'!J$60</f>
        <v>14479030.057308897</v>
      </c>
      <c r="K24" s="18">
        <f>'Necesidades de insumos'!K23*'Insumos Valorizados'!K$60</f>
        <v>14769445.534526823</v>
      </c>
      <c r="L24" s="18">
        <f>'Necesidades de insumos'!L23*'Insumos Valorizados'!L$60</f>
        <v>15066335.578794131</v>
      </c>
    </row>
    <row r="25" spans="2:13">
      <c r="C25" s="23" t="str">
        <f>'Necesidades de insumos'!C24</f>
        <v>Preservantes</v>
      </c>
      <c r="D25" s="18">
        <f>'Necesidades de insumos'!D24*'Insumos Valorizados'!D$70</f>
        <v>2069712.8976517238</v>
      </c>
      <c r="E25" s="18">
        <f>'Necesidades de insumos'!E24*'Insumos Valorizados'!E$70</f>
        <v>2113329.5354253193</v>
      </c>
      <c r="F25" s="18">
        <f>'Necesidades de insumos'!F24*'Insumos Valorizados'!F$70</f>
        <v>2145784.6809241762</v>
      </c>
      <c r="G25" s="18">
        <f>'Necesidades de insumos'!G24*'Insumos Valorizados'!G$70</f>
        <v>2188169.1304382314</v>
      </c>
      <c r="H25" s="18">
        <f>'Necesidades de insumos'!H24*'Insumos Valorizados'!H$70</f>
        <v>2236501.514993492</v>
      </c>
      <c r="I25" s="18">
        <f>'Necesidades de insumos'!I24*'Insumos Valorizados'!I$70</f>
        <v>2304027.9147391841</v>
      </c>
      <c r="J25" s="18">
        <f>'Necesidades de insumos'!J24*'Insumos Valorizados'!J$70</f>
        <v>2352842.1895953938</v>
      </c>
      <c r="K25" s="18">
        <f>'Necesidades de insumos'!K24*'Insumos Valorizados'!K$70</f>
        <v>2400035.3090159502</v>
      </c>
      <c r="L25" s="18">
        <f>'Necesidades de insumos'!L24*'Insumos Valorizados'!L$70</f>
        <v>2448279.0436355327</v>
      </c>
    </row>
    <row r="26" spans="2:13">
      <c r="C26" s="23" t="str">
        <f>'Necesidades de insumos'!C25</f>
        <v>Queso</v>
      </c>
      <c r="D26" s="18">
        <f>'Necesidades de insumos'!D25*'Insumos Valorizados'!D$80</f>
        <v>0</v>
      </c>
      <c r="E26" s="18">
        <f>'Necesidades de insumos'!E25*'Insumos Valorizados'!E$80</f>
        <v>0</v>
      </c>
      <c r="F26" s="18">
        <f>'Necesidades de insumos'!F25*'Insumos Valorizados'!F$80</f>
        <v>0</v>
      </c>
      <c r="G26" s="18">
        <f>'Necesidades de insumos'!G25*'Insumos Valorizados'!G$80</f>
        <v>0</v>
      </c>
      <c r="H26" s="18">
        <f>'Necesidades de insumos'!H25*'Insumos Valorizados'!H$80</f>
        <v>0</v>
      </c>
      <c r="I26" s="18">
        <f>'Necesidades de insumos'!I25*'Insumos Valorizados'!I$80</f>
        <v>0</v>
      </c>
      <c r="J26" s="18">
        <f>'Necesidades de insumos'!J25*'Insumos Valorizados'!J$80</f>
        <v>0</v>
      </c>
      <c r="K26" s="18">
        <f>'Necesidades de insumos'!K25*'Insumos Valorizados'!K$80</f>
        <v>0</v>
      </c>
      <c r="L26" s="18">
        <f>'Necesidades de insumos'!L25*'Insumos Valorizados'!L$80</f>
        <v>0</v>
      </c>
    </row>
    <row r="27" spans="2:13">
      <c r="C27" s="23" t="str">
        <f>'Necesidades de insumos'!C26</f>
        <v>Pisco</v>
      </c>
      <c r="D27" s="18">
        <f>'Necesidades de insumos'!D26*'Insumos Valorizados'!D$90</f>
        <v>0</v>
      </c>
      <c r="E27" s="18">
        <f>'Necesidades de insumos'!E26*'Insumos Valorizados'!E$90</f>
        <v>0</v>
      </c>
      <c r="F27" s="18">
        <f>'Necesidades de insumos'!F26*'Insumos Valorizados'!F$90</f>
        <v>0</v>
      </c>
      <c r="G27" s="18">
        <f>'Necesidades de insumos'!G26*'Insumos Valorizados'!G$90</f>
        <v>0</v>
      </c>
      <c r="H27" s="18">
        <f>'Necesidades de insumos'!H26*'Insumos Valorizados'!H$90</f>
        <v>0</v>
      </c>
      <c r="I27" s="18">
        <f>'Necesidades de insumos'!I26*'Insumos Valorizados'!I$90</f>
        <v>0</v>
      </c>
      <c r="J27" s="18">
        <f>'Necesidades de insumos'!J26*'Insumos Valorizados'!J$90</f>
        <v>0</v>
      </c>
      <c r="K27" s="18">
        <f>'Necesidades de insumos'!K26*'Insumos Valorizados'!K$90</f>
        <v>0</v>
      </c>
      <c r="L27" s="18">
        <f>'Necesidades de insumos'!L26*'Insumos Valorizados'!L$90</f>
        <v>0</v>
      </c>
    </row>
    <row r="28" spans="2:13">
      <c r="C28" s="23" t="str">
        <f>'Necesidades de insumos'!C27</f>
        <v>Otros</v>
      </c>
      <c r="D28" s="18">
        <f>'Necesidades de insumos'!D27</f>
        <v>4417009.7222222211</v>
      </c>
      <c r="E28" s="18">
        <f>'Necesidades de insumos'!E27</f>
        <v>4461632.1166666653</v>
      </c>
      <c r="F28" s="18">
        <f>'Necesidades de insumos'!F27</f>
        <v>4505636.6183888894</v>
      </c>
      <c r="G28" s="18">
        <f>'Necesidades de insumos'!G27</f>
        <v>4550692.9845727775</v>
      </c>
      <c r="H28" s="18">
        <f>'Necesidades de insumos'!H27</f>
        <v>4601063.2838483555</v>
      </c>
      <c r="I28" s="18">
        <f>'Necesidades de insumos'!I27</f>
        <v>4671342.4459450021</v>
      </c>
      <c r="J28" s="18">
        <f>'Necesidades de insumos'!J27</f>
        <v>4721450.1046702461</v>
      </c>
      <c r="K28" s="18">
        <f>'Necesidades de insumos'!K27</f>
        <v>4768340.5395162348</v>
      </c>
      <c r="L28" s="18">
        <f>'Necesidades de insumos'!L27</f>
        <v>4816023.944911398</v>
      </c>
    </row>
    <row r="29" spans="2:13">
      <c r="D29" s="14"/>
      <c r="E29" s="14"/>
      <c r="F29" s="14"/>
      <c r="G29" s="14"/>
      <c r="H29" s="14"/>
      <c r="I29" s="14"/>
      <c r="J29" s="14"/>
      <c r="K29" s="14"/>
      <c r="L29" s="14"/>
    </row>
    <row r="30" spans="2:13">
      <c r="C30" s="23" t="s">
        <v>12</v>
      </c>
      <c r="D30" s="138">
        <f>SUM(D19:D28)</f>
        <v>36647202.57898847</v>
      </c>
      <c r="E30" s="138">
        <f t="shared" ref="E30:L30" si="1">SUM(E19:E28)</f>
        <v>37371142.421761468</v>
      </c>
      <c r="F30" s="138">
        <f t="shared" si="1"/>
        <v>37920515.324809052</v>
      </c>
      <c r="G30" s="138">
        <f t="shared" si="1"/>
        <v>38625632.018757246</v>
      </c>
      <c r="H30" s="138">
        <f t="shared" si="1"/>
        <v>39428659.527113006</v>
      </c>
      <c r="I30" s="138">
        <f t="shared" si="1"/>
        <v>40550500.857931525</v>
      </c>
      <c r="J30" s="138">
        <f t="shared" si="1"/>
        <v>41360734.116515294</v>
      </c>
      <c r="K30" s="138">
        <f t="shared" si="1"/>
        <v>42142531.429669917</v>
      </c>
      <c r="L30" s="138">
        <f t="shared" si="1"/>
        <v>42941484.104286894</v>
      </c>
    </row>
    <row r="31" spans="2:13">
      <c r="D31" s="14"/>
      <c r="E31" s="14"/>
      <c r="F31" s="14"/>
      <c r="G31" s="14"/>
      <c r="H31" s="14"/>
      <c r="I31" s="14"/>
      <c r="J31" s="14"/>
      <c r="K31" s="14"/>
      <c r="L31" s="14"/>
    </row>
    <row r="32" spans="2:13" ht="36">
      <c r="B32" s="66" t="str">
        <f>'Necesidades de insumos'!B30</f>
        <v>PRODUCTO 3</v>
      </c>
      <c r="C32" s="106" t="str">
        <f>'Necesidades de insumos'!C30</f>
        <v>ROSCAS CON PISCO</v>
      </c>
      <c r="D32" s="245">
        <f>'Necesidades de insumos'!D30</f>
        <v>2013</v>
      </c>
      <c r="E32" s="245">
        <f>'Necesidades de insumos'!E30</f>
        <v>2014</v>
      </c>
      <c r="F32" s="245">
        <f>'Necesidades de insumos'!F30</f>
        <v>2015</v>
      </c>
      <c r="G32" s="245">
        <f>'Necesidades de insumos'!G30</f>
        <v>2016</v>
      </c>
      <c r="H32" s="245">
        <f>'Necesidades de insumos'!H30</f>
        <v>2017</v>
      </c>
      <c r="I32" s="245">
        <f>'Necesidades de insumos'!I30</f>
        <v>2018</v>
      </c>
      <c r="J32" s="245">
        <f>'Necesidades de insumos'!J30</f>
        <v>2019</v>
      </c>
      <c r="K32" s="245">
        <f>'Necesidades de insumos'!K30</f>
        <v>2020</v>
      </c>
      <c r="L32" s="245">
        <f>'Necesidades de insumos'!L30</f>
        <v>2021</v>
      </c>
    </row>
    <row r="33" spans="3:12">
      <c r="C33" s="23" t="str">
        <f>'Necesidades de insumos'!C31</f>
        <v>Harina</v>
      </c>
      <c r="D33" s="18">
        <f>'Necesidades de insumos'!D31*'Insumos Valorizados'!D$10</f>
        <v>5199161.1288738577</v>
      </c>
      <c r="E33" s="18">
        <f>'Necesidades de insumos'!E31*'Insumos Valorizados'!E$10</f>
        <v>5316099.7547785649</v>
      </c>
      <c r="F33" s="18">
        <f>'Necesidades de insumos'!F31*'Insumos Valorizados'!F$10</f>
        <v>5415097.3871037383</v>
      </c>
      <c r="G33" s="18">
        <f>'Necesidades de insumos'!G31*'Insumos Valorizados'!G$10</f>
        <v>5541345.9817975303</v>
      </c>
      <c r="H33" s="18">
        <f>'Necesidades de insumos'!H31*'Insumos Valorizados'!H$10</f>
        <v>5668499.0664947629</v>
      </c>
      <c r="I33" s="18">
        <f>'Necesidades de insumos'!I31*'Insumos Valorizados'!I$10</f>
        <v>5808674.6513443086</v>
      </c>
      <c r="J33" s="18">
        <f>'Necesidades de insumos'!J31*'Insumos Valorizados'!J$10</f>
        <v>5927478.6552958349</v>
      </c>
      <c r="K33" s="18">
        <f>'Necesidades de insumos'!K31*'Insumos Valorizados'!K$10</f>
        <v>6059416.7228990728</v>
      </c>
      <c r="L33" s="18">
        <f>'Necesidades de insumos'!L31*'Insumos Valorizados'!L$10</f>
        <v>6187001.8313931925</v>
      </c>
    </row>
    <row r="34" spans="3:12">
      <c r="C34" s="23" t="str">
        <f>'Necesidades de insumos'!C32</f>
        <v>Azucar</v>
      </c>
      <c r="D34" s="18">
        <f>'Necesidades de insumos'!D32*'Insumos Valorizados'!D$20</f>
        <v>5097224.887249181</v>
      </c>
      <c r="E34" s="18">
        <f>'Necesidades de insumos'!E32*'Insumos Valorizados'!E$20</f>
        <v>5211862.8657451859</v>
      </c>
      <c r="F34" s="18">
        <f>'Necesidades de insumos'!F32*'Insumos Valorizados'!F$20</f>
        <v>5308918.036596193</v>
      </c>
      <c r="G34" s="18">
        <f>'Necesidades de insumos'!G32*'Insumos Valorizados'!G$20</f>
        <v>5432691.6523755519</v>
      </c>
      <c r="H34" s="18">
        <f>'Necesidades de insumos'!H32*'Insumos Valorizados'!H$20</f>
        <v>5557351.5412212806</v>
      </c>
      <c r="I34" s="18">
        <f>'Necesidades de insumos'!I32*'Insumos Valorizados'!I$20</f>
        <v>5694779.0629685773</v>
      </c>
      <c r="J34" s="18">
        <f>'Necesidades de insumos'!J32*'Insumos Valorizados'!J$20</f>
        <v>5811253.4523075549</v>
      </c>
      <c r="K34" s="18">
        <f>'Necesidades de insumos'!K32*'Insumos Valorizados'!K$20</f>
        <v>5940604.8850835105</v>
      </c>
      <c r="L34" s="18">
        <f>'Necesidades de insumos'!L32*'Insumos Valorizados'!L$20</f>
        <v>6065687.8830472035</v>
      </c>
    </row>
    <row r="35" spans="3:12">
      <c r="C35" s="23" t="str">
        <f>'Necesidades de insumos'!C33</f>
        <v>Huevo</v>
      </c>
      <c r="D35" s="18">
        <f>'Necesidades de insumos'!D33*'Insumos Valorizados'!D$30</f>
        <v>254985.56423532398</v>
      </c>
      <c r="E35" s="18">
        <f>'Necesidades de insumos'!E33*'Insumos Valorizados'!E$30</f>
        <v>260746.25951695035</v>
      </c>
      <c r="F35" s="18">
        <f>'Necesidades de insumos'!F33*'Insumos Valorizados'!F$30</f>
        <v>265527.08654552774</v>
      </c>
      <c r="G35" s="18">
        <f>'Necesidades de insumos'!G33*'Insumos Valorizados'!G$30</f>
        <v>271775.59958376287</v>
      </c>
      <c r="H35" s="18">
        <f>'Necesidades de insumos'!H33*'Insumos Valorizados'!H$30</f>
        <v>278031.48392533447</v>
      </c>
      <c r="I35" s="18">
        <f>'Necesidades de insumos'!I33*'Insumos Valorizados'!I$30</f>
        <v>284963.18766666867</v>
      </c>
      <c r="J35" s="18">
        <f>'Necesidades de insumos'!J33*'Insumos Valorizados'!J$30</f>
        <v>290727.8664724328</v>
      </c>
      <c r="K35" s="18">
        <f>'Necesidades de insumos'!K33*'Insumos Valorizados'!K$30</f>
        <v>297192.15785002854</v>
      </c>
      <c r="L35" s="18">
        <f>'Necesidades de insumos'!L33*'Insumos Valorizados'!L$30</f>
        <v>303449.35759030003</v>
      </c>
    </row>
    <row r="36" spans="3:12">
      <c r="C36" s="23" t="str">
        <f>'Necesidades de insumos'!C34</f>
        <v>Manteca</v>
      </c>
      <c r="D36" s="18">
        <f>'Necesidades de insumos'!D34*'Insumos Valorizados'!D$40</f>
        <v>2038894.9984949627</v>
      </c>
      <c r="E36" s="18">
        <f>'Necesidades de insumos'!E34*'Insumos Valorizados'!E$40</f>
        <v>2084745.5924739698</v>
      </c>
      <c r="F36" s="18">
        <f>'Necesidades de insumos'!F34*'Insumos Valorizados'!F$40</f>
        <v>2123567.4800375705</v>
      </c>
      <c r="G36" s="18">
        <f>'Necesidades de insumos'!G34*'Insumos Valorizados'!G$40</f>
        <v>2173076.7689277059</v>
      </c>
      <c r="H36" s="18">
        <f>'Necesidades de insumos'!H34*'Insumos Valorizados'!H$40</f>
        <v>2222940.7277793405</v>
      </c>
      <c r="I36" s="18">
        <f>'Necesidades de insumos'!I34*'Insumos Valorizados'!I$40</f>
        <v>2277911.650316962</v>
      </c>
      <c r="J36" s="18">
        <f>'Necesidades de insumos'!J34*'Insumos Valorizados'!J$40</f>
        <v>2324501.4160883254</v>
      </c>
      <c r="K36" s="18">
        <f>'Necesidades de insumos'!K34*'Insumos Valorizados'!K$40</f>
        <v>2376241.8872475987</v>
      </c>
      <c r="L36" s="18">
        <f>'Necesidades de insumos'!L34*'Insumos Valorizados'!L$40</f>
        <v>2426275.1938471217</v>
      </c>
    </row>
    <row r="37" spans="3:12">
      <c r="C37" s="23" t="str">
        <f>'Necesidades de insumos'!C35</f>
        <v>Aceite</v>
      </c>
      <c r="D37" s="18">
        <f>'Necesidades de insumos'!D35*'Insumos Valorizados'!D$50</f>
        <v>0</v>
      </c>
      <c r="E37" s="18">
        <f>'Necesidades de insumos'!E35*'Insumos Valorizados'!E$50</f>
        <v>0</v>
      </c>
      <c r="F37" s="18">
        <f>'Necesidades de insumos'!F35*'Insumos Valorizados'!F$50</f>
        <v>0</v>
      </c>
      <c r="G37" s="18">
        <f>'Necesidades de insumos'!G35*'Insumos Valorizados'!G$50</f>
        <v>0</v>
      </c>
      <c r="H37" s="18">
        <f>'Necesidades de insumos'!H35*'Insumos Valorizados'!H$50</f>
        <v>0</v>
      </c>
      <c r="I37" s="18">
        <f>'Necesidades de insumos'!I35*'Insumos Valorizados'!I$50</f>
        <v>0</v>
      </c>
      <c r="J37" s="18">
        <f>'Necesidades de insumos'!J35*'Insumos Valorizados'!J$50</f>
        <v>0</v>
      </c>
      <c r="K37" s="18">
        <f>'Necesidades de insumos'!K35*'Insumos Valorizados'!K$50</f>
        <v>0</v>
      </c>
      <c r="L37" s="18">
        <f>'Necesidades de insumos'!L35*'Insumos Valorizados'!L$50</f>
        <v>0</v>
      </c>
    </row>
    <row r="38" spans="3:12">
      <c r="C38" s="23" t="str">
        <f>'Necesidades de insumos'!C36</f>
        <v>Frutas Secas</v>
      </c>
      <c r="D38" s="18">
        <f>'Necesidades de insumos'!D36*'Insumos Valorizados'!D$60</f>
        <v>10194489.316647355</v>
      </c>
      <c r="E38" s="18">
        <f>'Necesidades de insumos'!E36*'Insumos Valorizados'!E$60</f>
        <v>10423732.047068436</v>
      </c>
      <c r="F38" s="18">
        <f>'Necesidades de insumos'!F36*'Insumos Valorizados'!F$60</f>
        <v>10617851.036126854</v>
      </c>
      <c r="G38" s="18">
        <f>'Necesidades de insumos'!G36*'Insumos Valorizados'!G$60</f>
        <v>10865388.967926571</v>
      </c>
      <c r="H38" s="18">
        <f>'Necesidades de insumos'!H36*'Insumos Valorizados'!H$60</f>
        <v>11114709.904349536</v>
      </c>
      <c r="I38" s="18">
        <f>'Necesidades de insumos'!I36*'Insumos Valorizados'!I$60</f>
        <v>11389562.645874629</v>
      </c>
      <c r="J38" s="18">
        <f>'Necesidades de insumos'!J36*'Insumos Valorizados'!J$60</f>
        <v>11622509.705668492</v>
      </c>
      <c r="K38" s="18">
        <f>'Necesidades de insumos'!K36*'Insumos Valorizados'!K$60</f>
        <v>11881204.603678657</v>
      </c>
      <c r="L38" s="18">
        <f>'Necesidades de insumos'!L36*'Insumos Valorizados'!L$60</f>
        <v>12131377.981046325</v>
      </c>
    </row>
    <row r="39" spans="3:12">
      <c r="C39" s="23" t="str">
        <f>'Necesidades de insumos'!C37</f>
        <v>Preservantes</v>
      </c>
      <c r="D39" s="18">
        <f>'Necesidades de insumos'!D37*'Insumos Valorizados'!D$70</f>
        <v>993962.94439667941</v>
      </c>
      <c r="E39" s="18">
        <f>'Necesidades de insumos'!E37*'Insumos Valorizados'!E$70</f>
        <v>1016313.5697336078</v>
      </c>
      <c r="F39" s="18">
        <f>'Necesidades de insumos'!F37*'Insumos Valorizados'!F$70</f>
        <v>1035239.3437282576</v>
      </c>
      <c r="G39" s="18">
        <f>'Necesidades de insumos'!G37*'Insumos Valorizados'!G$70</f>
        <v>1059374.795978623</v>
      </c>
      <c r="H39" s="18">
        <f>'Necesidades de insumos'!H37*'Insumos Valorizados'!H$70</f>
        <v>1083683.6657236188</v>
      </c>
      <c r="I39" s="18">
        <f>'Necesidades de insumos'!I37*'Insumos Valorizados'!I$70</f>
        <v>1110482.6046496108</v>
      </c>
      <c r="J39" s="18">
        <f>'Necesidades de insumos'!J37*'Insumos Valorizados'!J$70</f>
        <v>1133194.6025213795</v>
      </c>
      <c r="K39" s="18">
        <f>'Necesidades de insumos'!K37*'Insumos Valorizados'!K$70</f>
        <v>1158417.6465857502</v>
      </c>
      <c r="L39" s="18">
        <f>'Necesidades de insumos'!L37*'Insumos Valorizados'!L$70</f>
        <v>1182809.1174295126</v>
      </c>
    </row>
    <row r="40" spans="3:12">
      <c r="C40" s="23" t="str">
        <f>'Necesidades de insumos'!C38</f>
        <v>Queso</v>
      </c>
      <c r="D40" s="18">
        <f>'Necesidades de insumos'!D38*'Insumos Valorizados'!D$80</f>
        <v>0</v>
      </c>
      <c r="E40" s="18">
        <f>'Necesidades de insumos'!E38*'Insumos Valorizados'!E$80</f>
        <v>0</v>
      </c>
      <c r="F40" s="18">
        <f>'Necesidades de insumos'!F38*'Insumos Valorizados'!F$80</f>
        <v>0</v>
      </c>
      <c r="G40" s="18">
        <f>'Necesidades de insumos'!G38*'Insumos Valorizados'!G$80</f>
        <v>0</v>
      </c>
      <c r="H40" s="18">
        <f>'Necesidades de insumos'!H38*'Insumos Valorizados'!H$80</f>
        <v>0</v>
      </c>
      <c r="I40" s="18">
        <f>'Necesidades de insumos'!I38*'Insumos Valorizados'!I$80</f>
        <v>0</v>
      </c>
      <c r="J40" s="18">
        <f>'Necesidades de insumos'!J38*'Insumos Valorizados'!J$80</f>
        <v>0</v>
      </c>
      <c r="K40" s="18">
        <f>'Necesidades de insumos'!K38*'Insumos Valorizados'!K$80</f>
        <v>0</v>
      </c>
      <c r="L40" s="18">
        <f>'Necesidades de insumos'!L38*'Insumos Valorizados'!L$80</f>
        <v>0</v>
      </c>
    </row>
    <row r="41" spans="3:12">
      <c r="C41" s="23" t="str">
        <f>'Necesidades de insumos'!C39</f>
        <v>Pisco</v>
      </c>
      <c r="D41" s="18">
        <f>'Necesidades de insumos'!D39*'Insumos Valorizados'!D$90</f>
        <v>2548684.4017094015</v>
      </c>
      <c r="E41" s="18">
        <f>'Necesidades de insumos'!E39*'Insumos Valorizados'!E$90</f>
        <v>2421003.5257339743</v>
      </c>
      <c r="F41" s="18">
        <f>'Necesidades de insumos'!F39*'Insumos Valorizados'!F$90</f>
        <v>2465316.1699028192</v>
      </c>
      <c r="G41" s="18">
        <f>'Necesidades de insumos'!G39*'Insumos Valorizados'!G$90</f>
        <v>2523528.6925121411</v>
      </c>
      <c r="H41" s="18">
        <f>'Necesidades de insumos'!H39*'Insumos Valorizados'!H$90</f>
        <v>2581208.2180081988</v>
      </c>
      <c r="I41" s="18">
        <f>'Necesidades de insumos'!I39*'Insumos Valorizados'!I$90</f>
        <v>2645241.1681555156</v>
      </c>
      <c r="J41" s="18">
        <f>'Necesidades de insumos'!J39*'Insumos Valorizados'!J$90</f>
        <v>2698374.8586218669</v>
      </c>
      <c r="K41" s="18">
        <f>'Necesidades de insumos'!K39*'Insumos Valorizados'!K$90</f>
        <v>2758691.7871418553</v>
      </c>
      <c r="L41" s="18">
        <f>'Necesidades de insumos'!L39*'Insumos Valorizados'!L$90</f>
        <v>2816377.6889602453</v>
      </c>
    </row>
    <row r="42" spans="3:12">
      <c r="C42" s="23" t="str">
        <f>'Necesidades de insumos'!C40</f>
        <v>Otros</v>
      </c>
      <c r="D42" s="18">
        <f>'Necesidades de insumos'!D40</f>
        <v>3030333.333333333</v>
      </c>
      <c r="E42" s="18">
        <f>'Necesidades de insumos'!E40</f>
        <v>3065181.666666667</v>
      </c>
      <c r="F42" s="18">
        <f>'Necesidades de insumos'!F40</f>
        <v>3105365.6949999994</v>
      </c>
      <c r="G42" s="18">
        <f>'Necesidades de insumos'!G40</f>
        <v>3147373.2243824992</v>
      </c>
      <c r="H42" s="18">
        <f>'Necesidades de insumos'!H40</f>
        <v>3184883.1069675903</v>
      </c>
      <c r="I42" s="18">
        <f>'Necesidades de insumos'!I40</f>
        <v>3216382.4884973289</v>
      </c>
      <c r="J42" s="18">
        <f>'Necesidades de insumos'!J40</f>
        <v>3248546.3133823043</v>
      </c>
      <c r="K42" s="18">
        <f>'Necesidades de insumos'!K40</f>
        <v>3287886.0485066506</v>
      </c>
      <c r="L42" s="18">
        <f>'Necesidades de insumos'!L40</f>
        <v>3323872.419461525</v>
      </c>
    </row>
    <row r="43" spans="3:12">
      <c r="D43" s="14"/>
      <c r="E43" s="14"/>
      <c r="F43" s="14"/>
      <c r="G43" s="14"/>
      <c r="H43" s="14"/>
      <c r="I43" s="14"/>
      <c r="J43" s="14"/>
      <c r="K43" s="14"/>
      <c r="L43" s="14"/>
    </row>
    <row r="44" spans="3:12">
      <c r="C44" s="23" t="s">
        <v>12</v>
      </c>
      <c r="D44" s="138">
        <f>SUM(D33:D42)</f>
        <v>29357736.574940089</v>
      </c>
      <c r="E44" s="138">
        <f t="shared" ref="E44:L44" si="2">SUM(E33:E42)</f>
        <v>29799685.281717356</v>
      </c>
      <c r="F44" s="138">
        <f t="shared" si="2"/>
        <v>30336882.235040959</v>
      </c>
      <c r="G44" s="138">
        <f t="shared" si="2"/>
        <v>31014555.68348439</v>
      </c>
      <c r="H44" s="138">
        <f t="shared" si="2"/>
        <v>31691307.71446966</v>
      </c>
      <c r="I44" s="138">
        <f t="shared" si="2"/>
        <v>32427997.459473599</v>
      </c>
      <c r="J44" s="138">
        <f t="shared" si="2"/>
        <v>33056586.870358188</v>
      </c>
      <c r="K44" s="138">
        <f t="shared" si="2"/>
        <v>33759655.738993123</v>
      </c>
      <c r="L44" s="138">
        <f t="shared" si="2"/>
        <v>34436851.472775429</v>
      </c>
    </row>
    <row r="45" spans="3:12">
      <c r="D45" s="14"/>
      <c r="E45" s="14"/>
      <c r="F45" s="14"/>
      <c r="G45" s="14"/>
      <c r="H45" s="14"/>
      <c r="I45" s="14"/>
      <c r="J45" s="14"/>
      <c r="K45" s="14"/>
      <c r="L45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topLeftCell="A15" workbookViewId="0">
      <selection activeCell="D31" sqref="D31"/>
    </sheetView>
  </sheetViews>
  <sheetFormatPr baseColWidth="10" defaultRowHeight="15" x14ac:dyDescent="0"/>
  <cols>
    <col min="2" max="2" width="27.33203125" customWidth="1"/>
    <col min="3" max="11" width="13.5" customWidth="1"/>
  </cols>
  <sheetData>
    <row r="2" spans="2:11" ht="18">
      <c r="B2" s="28" t="s">
        <v>512</v>
      </c>
    </row>
    <row r="3" spans="2:11" ht="18">
      <c r="B3" s="28"/>
    </row>
    <row r="4" spans="2:11" ht="18">
      <c r="B4" s="28" t="s">
        <v>513</v>
      </c>
    </row>
    <row r="5" spans="2:11" ht="18">
      <c r="B5" s="28"/>
    </row>
    <row r="6" spans="2:11" ht="18">
      <c r="B6" s="260" t="s">
        <v>6</v>
      </c>
      <c r="C6" s="260">
        <v>2013</v>
      </c>
      <c r="D6" s="260">
        <v>2014</v>
      </c>
      <c r="E6" s="260">
        <v>2015</v>
      </c>
      <c r="F6" s="260">
        <v>2016</v>
      </c>
      <c r="G6" s="260">
        <v>2017</v>
      </c>
      <c r="H6" s="260">
        <v>2018</v>
      </c>
      <c r="I6" s="260">
        <v>2019</v>
      </c>
      <c r="J6" s="260">
        <v>2020</v>
      </c>
      <c r="K6" s="260">
        <v>2021</v>
      </c>
    </row>
    <row r="7" spans="2:11">
      <c r="B7" s="212" t="s">
        <v>405</v>
      </c>
      <c r="C7" s="280">
        <f>MOD!D123+MOD!D129+MOD!D136</f>
        <v>9032030.5699999984</v>
      </c>
      <c r="D7" s="280">
        <f>MOD!E123+MOD!E129+MOD!E136</f>
        <v>9141546.5521999989</v>
      </c>
      <c r="E7" s="280">
        <f>MOD!F123+MOD!F129+MOD!F136</f>
        <v>9237691.4349519983</v>
      </c>
      <c r="F7" s="280">
        <f>MOD!G123+MOD!G129+MOD!G136</f>
        <v>9378734.4060002137</v>
      </c>
      <c r="G7" s="280">
        <f>MOD!H123+MOD!H129+MOD!H136</f>
        <v>9507804.8446479999</v>
      </c>
      <c r="H7" s="280">
        <f>MOD!I123+MOD!I129+MOD!I136</f>
        <v>9641056.4686345775</v>
      </c>
      <c r="I7" s="280">
        <f>MOD!J123+MOD!J129+MOD!J136</f>
        <v>9803774.1026399862</v>
      </c>
      <c r="J7" s="280">
        <f>MOD!K123+MOD!K129+MOD!K136</f>
        <v>9929736.9060829543</v>
      </c>
      <c r="K7" s="280">
        <f>MOD!L123+MOD!L129+MOD!L136</f>
        <v>10033742.084869463</v>
      </c>
    </row>
    <row r="8" spans="2:11">
      <c r="B8" s="212" t="s">
        <v>21</v>
      </c>
      <c r="C8" s="280">
        <f>MOD!D124+MOD!D130+MOD!D137</f>
        <v>12839315.627777774</v>
      </c>
      <c r="D8" s="280">
        <f>MOD!E124+MOD!E130+MOD!E137</f>
        <v>12979003.300027775</v>
      </c>
      <c r="E8" s="280">
        <f>MOD!F124+MOD!F130+MOD!F137</f>
        <v>13099491.172246803</v>
      </c>
      <c r="F8" s="280">
        <f>MOD!G124+MOD!G130+MOD!G137</f>
        <v>13259691.557365038</v>
      </c>
      <c r="G8" s="280">
        <f>MOD!H124+MOD!H130+MOD!H137</f>
        <v>13414427.177046496</v>
      </c>
      <c r="H8" s="280">
        <f>MOD!I124+MOD!I130+MOD!I137</f>
        <v>13588588.761069626</v>
      </c>
      <c r="I8" s="280">
        <f>MOD!J124+MOD!J130+MOD!J137</f>
        <v>13751026.65461782</v>
      </c>
      <c r="J8" s="280">
        <f>MOD!K124+MOD!K130+MOD!K137</f>
        <v>13912594.88799095</v>
      </c>
      <c r="K8" s="280">
        <f>MOD!L124+MOD!L130+MOD!L137</f>
        <v>14055621.349901713</v>
      </c>
    </row>
    <row r="9" spans="2:11">
      <c r="B9" s="212" t="s">
        <v>22</v>
      </c>
      <c r="C9" s="280">
        <f>MOD!D125+MOD!D131+MOD!D138</f>
        <v>9895014.1733333319</v>
      </c>
      <c r="D9" s="280">
        <f>MOD!E125+MOD!E131+MOD!E138</f>
        <v>10011080.727844443</v>
      </c>
      <c r="E9" s="280">
        <f>MOD!F125+MOD!F131+MOD!F138</f>
        <v>10110500.683386777</v>
      </c>
      <c r="F9" s="280">
        <f>MOD!G125+MOD!G131+MOD!G138</f>
        <v>10255224.688931152</v>
      </c>
      <c r="G9" s="280">
        <f>MOD!H125+MOD!H131+MOD!H138</f>
        <v>10390251.31386341</v>
      </c>
      <c r="H9" s="280">
        <f>MOD!I125+MOD!I131+MOD!I138</f>
        <v>10535553.663348157</v>
      </c>
      <c r="I9" s="280">
        <f>MOD!J125+MOD!J131+MOD!J138</f>
        <v>10700476.897760138</v>
      </c>
      <c r="J9" s="280">
        <f>MOD!K125+MOD!K131+MOD!K138</f>
        <v>10834193.034335162</v>
      </c>
      <c r="K9" s="280">
        <f>MOD!L125+MOD!L131+MOD!L138</f>
        <v>10946568.671960194</v>
      </c>
    </row>
    <row r="10" spans="2:11">
      <c r="B10" s="281" t="s">
        <v>5</v>
      </c>
      <c r="C10" s="282">
        <f t="shared" ref="C10:K10" si="0">SUM(C7:C9)</f>
        <v>31766360.371111102</v>
      </c>
      <c r="D10" s="282">
        <f t="shared" si="0"/>
        <v>32131630.580072217</v>
      </c>
      <c r="E10" s="282">
        <f t="shared" si="0"/>
        <v>32447683.290585577</v>
      </c>
      <c r="F10" s="282">
        <f t="shared" si="0"/>
        <v>32893650.652296402</v>
      </c>
      <c r="G10" s="282">
        <f t="shared" si="0"/>
        <v>33312483.335557908</v>
      </c>
      <c r="H10" s="282">
        <f t="shared" si="0"/>
        <v>33765198.893052354</v>
      </c>
      <c r="I10" s="282">
        <f t="shared" si="0"/>
        <v>34255277.655017942</v>
      </c>
      <c r="J10" s="282">
        <f t="shared" si="0"/>
        <v>34676524.828409061</v>
      </c>
      <c r="K10" s="282">
        <f t="shared" si="0"/>
        <v>35035932.10673137</v>
      </c>
    </row>
    <row r="11" spans="2:11" ht="18">
      <c r="B11" s="28"/>
    </row>
    <row r="12" spans="2:11" ht="18">
      <c r="B12" s="28" t="s">
        <v>514</v>
      </c>
    </row>
    <row r="13" spans="2:11" ht="18">
      <c r="B13" s="28"/>
    </row>
    <row r="14" spans="2:11" ht="36">
      <c r="B14" s="260" t="s">
        <v>452</v>
      </c>
      <c r="C14" s="260">
        <v>2013</v>
      </c>
      <c r="D14" s="260">
        <v>2014</v>
      </c>
      <c r="E14" s="260">
        <v>2015</v>
      </c>
      <c r="F14" s="260">
        <v>2016</v>
      </c>
      <c r="G14" s="260">
        <v>2017</v>
      </c>
      <c r="H14" s="260">
        <v>2018</v>
      </c>
      <c r="I14" s="260">
        <v>2019</v>
      </c>
      <c r="J14" s="260">
        <v>2020</v>
      </c>
      <c r="K14" s="260">
        <v>2021</v>
      </c>
    </row>
    <row r="15" spans="2:11">
      <c r="B15" s="283" t="s">
        <v>455</v>
      </c>
      <c r="C15" s="284">
        <f>Parametros!E97*(1+Variables!C$19)*(1+Parametros!$C$90)</f>
        <v>527220</v>
      </c>
      <c r="D15" s="284">
        <f>C15*(1+Variables!D$19)</f>
        <v>532492.19999999995</v>
      </c>
      <c r="E15" s="284">
        <f>D15*(1+Variables!E$19)</f>
        <v>537817.12199999997</v>
      </c>
      <c r="F15" s="284">
        <f>E15*(1+Variables!F$19)</f>
        <v>548573.46444000001</v>
      </c>
      <c r="G15" s="284">
        <f>F15*(1+Variables!G$19)</f>
        <v>556802.06640659994</v>
      </c>
      <c r="H15" s="284">
        <f>G15*(1+Variables!H$19)</f>
        <v>562370.0870706659</v>
      </c>
      <c r="I15" s="284">
        <f>H15*(1+Variables!I$19)</f>
        <v>579241.18968278589</v>
      </c>
      <c r="J15" s="284">
        <f>I15*(1+Variables!J$19)</f>
        <v>585033.60157961375</v>
      </c>
      <c r="K15" s="284">
        <f>J15*(1+Variables!K$19)</f>
        <v>587958.76958751178</v>
      </c>
    </row>
    <row r="16" spans="2:11">
      <c r="B16" s="283" t="str">
        <f>Parametros!B104</f>
        <v>Laboratorio</v>
      </c>
      <c r="C16" s="284">
        <f>Parametros!E104*(1+Variables!C$19)*(1+Parametros!$C$90)</f>
        <v>2108880</v>
      </c>
      <c r="D16" s="284">
        <f>C16*(1+Variables!D$19)</f>
        <v>2129968.7999999998</v>
      </c>
      <c r="E16" s="284">
        <f>D16*(1+Variables!E$19)</f>
        <v>2151268.4879999999</v>
      </c>
      <c r="F16" s="284">
        <f>E16*(1+Variables!F$19)</f>
        <v>2194293.85776</v>
      </c>
      <c r="G16" s="284">
        <f>F16*(1+Variables!G$19)</f>
        <v>2227208.2656263998</v>
      </c>
      <c r="H16" s="284">
        <f>G16*(1+Variables!H$19)</f>
        <v>2249480.3482826636</v>
      </c>
      <c r="I16" s="284">
        <f>H16*(1+Variables!I$19)</f>
        <v>2316964.7587311435</v>
      </c>
      <c r="J16" s="284">
        <f>I16*(1+Variables!J$19)</f>
        <v>2340134.406318455</v>
      </c>
      <c r="K16" s="284">
        <f>J16*(1+Variables!K$19)</f>
        <v>2351835.0783500471</v>
      </c>
    </row>
    <row r="17" spans="2:11">
      <c r="B17" s="283" t="str">
        <f>Parametros!B105</f>
        <v>Almacén</v>
      </c>
      <c r="C17" s="284">
        <f>Parametros!E105*(1+Variables!C$19)*(1+Parametros!$C$90)</f>
        <v>7029600</v>
      </c>
      <c r="D17" s="284">
        <f>C17*(1+Variables!D$19)</f>
        <v>7099896</v>
      </c>
      <c r="E17" s="284">
        <f>D17*(1+Variables!E$19)</f>
        <v>7170894.96</v>
      </c>
      <c r="F17" s="284">
        <f>E17*(1+Variables!F$19)</f>
        <v>7314312.8591999998</v>
      </c>
      <c r="G17" s="284">
        <f>F17*(1+Variables!G$19)</f>
        <v>7424027.5520879989</v>
      </c>
      <c r="H17" s="284">
        <f>G17*(1+Variables!H$19)</f>
        <v>7498267.8276088787</v>
      </c>
      <c r="I17" s="284">
        <f>H17*(1+Variables!I$19)</f>
        <v>7723215.8624371449</v>
      </c>
      <c r="J17" s="284">
        <f>I17*(1+Variables!J$19)</f>
        <v>7800448.0210615164</v>
      </c>
      <c r="K17" s="284">
        <f>J17*(1+Variables!K$19)</f>
        <v>7839450.2611668231</v>
      </c>
    </row>
    <row r="18" spans="2:11">
      <c r="B18" s="283" t="str">
        <f>Parametros!B106</f>
        <v>Tópico</v>
      </c>
      <c r="C18" s="284">
        <f>Parametros!E106*(1+Variables!C$19)*(1+Parametros!$C$90)</f>
        <v>2108880</v>
      </c>
      <c r="D18" s="284">
        <f>C18*(1+Variables!D$19)</f>
        <v>2129968.7999999998</v>
      </c>
      <c r="E18" s="284">
        <f>D18*(1+Variables!E$19)</f>
        <v>2151268.4879999999</v>
      </c>
      <c r="F18" s="284">
        <f>E18*(1+Variables!F$19)</f>
        <v>2194293.85776</v>
      </c>
      <c r="G18" s="284">
        <f>F18*(1+Variables!G$19)</f>
        <v>2227208.2656263998</v>
      </c>
      <c r="H18" s="284">
        <f>G18*(1+Variables!H$19)</f>
        <v>2249480.3482826636</v>
      </c>
      <c r="I18" s="284">
        <f>H18*(1+Variables!I$19)</f>
        <v>2316964.7587311435</v>
      </c>
      <c r="J18" s="284">
        <f>I18*(1+Variables!J$19)</f>
        <v>2340134.406318455</v>
      </c>
      <c r="K18" s="284">
        <f>J18*(1+Variables!K$19)</f>
        <v>2351835.0783500471</v>
      </c>
    </row>
    <row r="19" spans="2:11">
      <c r="B19" s="283" t="str">
        <f>Parametros!B107</f>
        <v>Relaciones Industriales (Planilla)</v>
      </c>
      <c r="C19" s="284">
        <f>Parametros!E107*(1+Variables!C$19)*(1+Parametros!$C$90)</f>
        <v>7029600</v>
      </c>
      <c r="D19" s="284">
        <f>C19*(1+Variables!D$19)</f>
        <v>7099896</v>
      </c>
      <c r="E19" s="284">
        <f>D19*(1+Variables!E$19)</f>
        <v>7170894.96</v>
      </c>
      <c r="F19" s="284">
        <f>E19*(1+Variables!F$19)</f>
        <v>7314312.8591999998</v>
      </c>
      <c r="G19" s="284">
        <f>F19*(1+Variables!G$19)</f>
        <v>7424027.5520879989</v>
      </c>
      <c r="H19" s="284">
        <f>G19*(1+Variables!H$19)</f>
        <v>7498267.8276088787</v>
      </c>
      <c r="I19" s="284">
        <f>H19*(1+Variables!I$19)</f>
        <v>7723215.8624371449</v>
      </c>
      <c r="J19" s="284">
        <f>I19*(1+Variables!J$19)</f>
        <v>7800448.0210615164</v>
      </c>
      <c r="K19" s="284">
        <f>J19*(1+Variables!K$19)</f>
        <v>7839450.2611668231</v>
      </c>
    </row>
    <row r="20" spans="2:11">
      <c r="B20" s="281" t="s">
        <v>5</v>
      </c>
      <c r="C20" s="282">
        <f>SUM(C15:C19)</f>
        <v>18804180</v>
      </c>
      <c r="D20" s="282">
        <f t="shared" ref="D20:K20" si="1">SUM(D15:D19)</f>
        <v>18992221.800000001</v>
      </c>
      <c r="E20" s="282">
        <f t="shared" si="1"/>
        <v>19182144.017999999</v>
      </c>
      <c r="F20" s="282">
        <f t="shared" si="1"/>
        <v>19565786.898360003</v>
      </c>
      <c r="G20" s="282">
        <f t="shared" si="1"/>
        <v>19859273.701835398</v>
      </c>
      <c r="H20" s="282">
        <f t="shared" si="1"/>
        <v>20057866.438853748</v>
      </c>
      <c r="I20" s="282">
        <f t="shared" si="1"/>
        <v>20659602.432019364</v>
      </c>
      <c r="J20" s="282">
        <f t="shared" si="1"/>
        <v>20866198.456339557</v>
      </c>
      <c r="K20" s="282">
        <f t="shared" si="1"/>
        <v>20970529.448621251</v>
      </c>
    </row>
    <row r="22" spans="2:11" ht="30">
      <c r="B22" s="281" t="s">
        <v>577</v>
      </c>
      <c r="C22" s="282">
        <f>C10+C20</f>
        <v>50570540.371111102</v>
      </c>
      <c r="D22" s="282">
        <f t="shared" ref="D22:K22" si="2">D10+D20</f>
        <v>51123852.380072221</v>
      </c>
      <c r="E22" s="282">
        <f t="shared" si="2"/>
        <v>51629827.308585577</v>
      </c>
      <c r="F22" s="282">
        <f t="shared" si="2"/>
        <v>52459437.550656408</v>
      </c>
      <c r="G22" s="282">
        <f t="shared" si="2"/>
        <v>53171757.037393302</v>
      </c>
      <c r="H22" s="282">
        <f t="shared" si="2"/>
        <v>53823065.331906103</v>
      </c>
      <c r="I22" s="282">
        <f t="shared" si="2"/>
        <v>54914880.08703731</v>
      </c>
      <c r="J22" s="282">
        <f t="shared" si="2"/>
        <v>55542723.284748614</v>
      </c>
      <c r="K22" s="282">
        <f t="shared" si="2"/>
        <v>56006461.555352621</v>
      </c>
    </row>
    <row r="25" spans="2:11" ht="18">
      <c r="B25" s="28" t="s">
        <v>578</v>
      </c>
    </row>
    <row r="27" spans="2:11" ht="18">
      <c r="B27" s="260" t="s">
        <v>579</v>
      </c>
      <c r="C27" s="260">
        <v>2013</v>
      </c>
      <c r="D27" s="260">
        <v>2014</v>
      </c>
      <c r="E27" s="260">
        <v>2015</v>
      </c>
      <c r="F27" s="260">
        <v>2016</v>
      </c>
      <c r="G27" s="260">
        <v>2017</v>
      </c>
      <c r="H27" s="260">
        <v>2018</v>
      </c>
      <c r="I27" s="260">
        <v>2019</v>
      </c>
      <c r="J27" s="260">
        <v>2020</v>
      </c>
      <c r="K27" s="260">
        <v>2021</v>
      </c>
    </row>
    <row r="28" spans="2:11">
      <c r="B28" s="283" t="s">
        <v>16</v>
      </c>
      <c r="C28" s="284">
        <f>Parametros!E94*(1+Variables!C$19)*(1+Parametros!$C$90)</f>
        <v>1757400</v>
      </c>
      <c r="D28" s="284">
        <f>C28*(1+Variables!$C$19)</f>
        <v>1774974</v>
      </c>
      <c r="E28" s="284">
        <f>D28*(1+Variables!D19)</f>
        <v>1792723.74</v>
      </c>
      <c r="F28" s="284">
        <f>E28*(1+Variables!E19)</f>
        <v>1810650.9774</v>
      </c>
      <c r="G28" s="284">
        <f>F28*(1+Variables!F19)</f>
        <v>1846863.996948</v>
      </c>
      <c r="H28" s="284">
        <f>G28*(1+Variables!G19)</f>
        <v>1874566.9569022199</v>
      </c>
      <c r="I28" s="284">
        <f>H28*(1+Variables!H19)</f>
        <v>1893312.6264712422</v>
      </c>
      <c r="J28" s="284">
        <f>I28*(1+Variables!I19)</f>
        <v>1950112.0052653796</v>
      </c>
      <c r="K28" s="284">
        <f>J28*(1+Variables!J19)</f>
        <v>1969613.1253180334</v>
      </c>
    </row>
    <row r="29" spans="2:11">
      <c r="B29" s="283" t="s">
        <v>328</v>
      </c>
      <c r="C29" s="284">
        <f>Parametros!E95*(1+Variables!C$19)*(1+Parametros!$C$90)</f>
        <v>351480</v>
      </c>
      <c r="D29" s="284">
        <f>C29*(1+Variables!C19)</f>
        <v>354994.8</v>
      </c>
      <c r="E29" s="284">
        <f>D29*(1+Variables!D19)</f>
        <v>358544.74799999996</v>
      </c>
      <c r="F29" s="284">
        <f>E29*(1+Variables!E19)</f>
        <v>362130.19547999999</v>
      </c>
      <c r="G29" s="284">
        <f>F29*(1+Variables!F19)</f>
        <v>369372.7993896</v>
      </c>
      <c r="H29" s="284">
        <f>G29*(1+Variables!G19)</f>
        <v>374913.39138044394</v>
      </c>
      <c r="I29" s="284">
        <f>H29*(1+Variables!H19)</f>
        <v>378662.52529424836</v>
      </c>
      <c r="J29" s="284">
        <f>I29*(1+Variables!I19)</f>
        <v>390022.40105307585</v>
      </c>
      <c r="K29" s="284">
        <f>J29*(1+Variables!J19)</f>
        <v>393922.6250636066</v>
      </c>
    </row>
    <row r="30" spans="2:11">
      <c r="B30" s="283" t="s">
        <v>585</v>
      </c>
      <c r="C30" s="284">
        <f>Parametros!E96*(1+Variables!C$19)*(1+Parametros!$C$90)</f>
        <v>351480</v>
      </c>
      <c r="D30" s="284">
        <f>C30*(1+Variables!C19)</f>
        <v>354994.8</v>
      </c>
      <c r="E30" s="284">
        <f>D30*(1+Variables!D19)</f>
        <v>358544.74799999996</v>
      </c>
      <c r="F30" s="284">
        <f>E30*(1+Variables!E19)</f>
        <v>362130.19547999999</v>
      </c>
      <c r="G30" s="284">
        <f>F30*(1+Variables!F19)</f>
        <v>369372.7993896</v>
      </c>
      <c r="H30" s="284">
        <f>G30*(1+Variables!G19)</f>
        <v>374913.39138044394</v>
      </c>
      <c r="I30" s="284">
        <f>H30*(1+Variables!H19)</f>
        <v>378662.52529424836</v>
      </c>
      <c r="J30" s="284">
        <f>I30*(1+Variables!I19)</f>
        <v>390022.40105307585</v>
      </c>
      <c r="K30" s="284">
        <f>J30*(1+Variables!J19)</f>
        <v>393922.6250636066</v>
      </c>
    </row>
    <row r="31" spans="2:11">
      <c r="B31" s="283" t="s">
        <v>96</v>
      </c>
      <c r="C31" s="284">
        <f>C22</f>
        <v>50570540.371111102</v>
      </c>
      <c r="D31" s="284">
        <f t="shared" ref="D31:K31" si="3">D22</f>
        <v>51123852.380072221</v>
      </c>
      <c r="E31" s="284">
        <f t="shared" si="3"/>
        <v>51629827.308585577</v>
      </c>
      <c r="F31" s="284">
        <f t="shared" si="3"/>
        <v>52459437.550656408</v>
      </c>
      <c r="G31" s="284">
        <f t="shared" si="3"/>
        <v>53171757.037393302</v>
      </c>
      <c r="H31" s="284">
        <f t="shared" si="3"/>
        <v>53823065.331906103</v>
      </c>
      <c r="I31" s="284">
        <f t="shared" si="3"/>
        <v>54914880.08703731</v>
      </c>
      <c r="J31" s="284">
        <f t="shared" si="3"/>
        <v>55542723.284748614</v>
      </c>
      <c r="K31" s="284">
        <f t="shared" si="3"/>
        <v>56006461.555352621</v>
      </c>
    </row>
    <row r="32" spans="2:11">
      <c r="B32" s="283" t="str">
        <f>Parametros!B98</f>
        <v>Ventas</v>
      </c>
      <c r="C32" s="284">
        <f>Parametros!E98*(1+Variables!C$19)*(1+Parametros!$C$90)</f>
        <v>253065.60000000001</v>
      </c>
      <c r="D32" s="284">
        <f>C32*(1+Variables!C19)</f>
        <v>255596.25599999999</v>
      </c>
      <c r="E32" s="284">
        <f>D32*(1+Variables!D19)</f>
        <v>258152.21856000001</v>
      </c>
      <c r="F32" s="284">
        <f>E32*(1+Variables!E19)</f>
        <v>260733.74074560002</v>
      </c>
      <c r="G32" s="284">
        <f>F32*(1+Variables!F19)</f>
        <v>265948.41556051205</v>
      </c>
      <c r="H32" s="284">
        <f>G32*(1+Variables!G19)</f>
        <v>269937.64179391973</v>
      </c>
      <c r="I32" s="284">
        <f>H32*(1+Variables!H19)</f>
        <v>272637.01821185893</v>
      </c>
      <c r="J32" s="284">
        <f>I32*(1+Variables!I19)</f>
        <v>280816.12875821471</v>
      </c>
      <c r="K32" s="284">
        <f>J32*(1+Variables!J19)</f>
        <v>283624.29004579684</v>
      </c>
    </row>
    <row r="33" spans="2:11">
      <c r="B33" s="283" t="s">
        <v>20</v>
      </c>
      <c r="C33" s="284">
        <f>Parametros!E99*(1+Variables!C$19)*(1+Parametros!$C$90)</f>
        <v>131805</v>
      </c>
      <c r="D33" s="284">
        <f>C33*(1+Variables!C19)</f>
        <v>133123.04999999999</v>
      </c>
      <c r="E33" s="284">
        <f>D33*(1+Variables!D19)</f>
        <v>134454.28049999999</v>
      </c>
      <c r="F33" s="284">
        <f>E33*(1+Variables!E19)</f>
        <v>135798.823305</v>
      </c>
      <c r="G33" s="284">
        <f>F33*(1+Variables!F19)</f>
        <v>138514.79977109999</v>
      </c>
      <c r="H33" s="284">
        <f>G33*(1+Variables!G19)</f>
        <v>140592.52176766648</v>
      </c>
      <c r="I33" s="284">
        <f>H33*(1+Variables!H19)</f>
        <v>141998.44698534315</v>
      </c>
      <c r="J33" s="284">
        <f>I33*(1+Variables!I19)</f>
        <v>146258.40039490344</v>
      </c>
      <c r="K33" s="284">
        <f>J33*(1+Variables!J19)</f>
        <v>147720.98439885248</v>
      </c>
    </row>
    <row r="34" spans="2:11">
      <c r="B34" s="281" t="s">
        <v>5</v>
      </c>
      <c r="C34" s="285">
        <f>SUM(C28:C33)</f>
        <v>53415770.971111104</v>
      </c>
      <c r="D34" s="285">
        <f t="shared" ref="D34:K34" si="4">SUM(D28:D33)</f>
        <v>53997535.286072217</v>
      </c>
      <c r="E34" s="285">
        <f t="shared" si="4"/>
        <v>54532247.043645583</v>
      </c>
      <c r="F34" s="285">
        <f t="shared" si="4"/>
        <v>55390881.483067006</v>
      </c>
      <c r="G34" s="285">
        <f t="shared" si="4"/>
        <v>56161829.848452114</v>
      </c>
      <c r="H34" s="285">
        <f t="shared" si="4"/>
        <v>56857989.235130802</v>
      </c>
      <c r="I34" s="285">
        <f t="shared" si="4"/>
        <v>57980153.229294248</v>
      </c>
      <c r="J34" s="285">
        <f t="shared" si="4"/>
        <v>58699954.621273264</v>
      </c>
      <c r="K34" s="285">
        <f t="shared" si="4"/>
        <v>59195265.205242515</v>
      </c>
    </row>
    <row r="38" spans="2:11" ht="18">
      <c r="B38" s="28" t="s">
        <v>515</v>
      </c>
    </row>
    <row r="40" spans="2:11" ht="18">
      <c r="B40" s="260" t="s">
        <v>330</v>
      </c>
      <c r="C40" s="260">
        <v>2013</v>
      </c>
      <c r="D40" s="260">
        <v>2014</v>
      </c>
      <c r="E40" s="260">
        <v>2015</v>
      </c>
      <c r="F40" s="260">
        <v>2016</v>
      </c>
      <c r="G40" s="260">
        <v>2017</v>
      </c>
      <c r="H40" s="260">
        <v>2018</v>
      </c>
      <c r="I40" s="260">
        <v>2019</v>
      </c>
      <c r="J40" s="260">
        <v>2020</v>
      </c>
      <c r="K40" s="260">
        <v>2021</v>
      </c>
    </row>
    <row r="41" spans="2:11">
      <c r="B41" s="283" t="s">
        <v>331</v>
      </c>
      <c r="C41" s="284">
        <f>Parametros!C83</f>
        <v>1200000</v>
      </c>
      <c r="D41" s="284">
        <f>C41*(1+Variables!C$34)</f>
        <v>1212000</v>
      </c>
      <c r="E41" s="284">
        <f>D41*(1+Variables!D$34)</f>
        <v>1226544</v>
      </c>
      <c r="F41" s="284">
        <f>E41*(1+Variables!E$34)</f>
        <v>1242489.0719999999</v>
      </c>
      <c r="G41" s="284">
        <f>F41*(1+Variables!F$34)</f>
        <v>1261126.4080799997</v>
      </c>
      <c r="H41" s="284">
        <f>G41*(1+Variables!G$34)</f>
        <v>1281304.4306092798</v>
      </c>
      <c r="I41" s="284">
        <f>H41*(1+Variables!H$34)</f>
        <v>1304367.9103602469</v>
      </c>
      <c r="J41" s="284">
        <f>I41*(1+Variables!I$34)</f>
        <v>1329150.9006570915</v>
      </c>
      <c r="K41" s="284">
        <f>J41*(1+Variables!J$34)</f>
        <v>1355733.9186702333</v>
      </c>
    </row>
    <row r="42" spans="2:11">
      <c r="B42" s="283" t="s">
        <v>332</v>
      </c>
      <c r="C42" s="284">
        <f>Parametros!C84</f>
        <v>2000000</v>
      </c>
      <c r="D42" s="280">
        <f>C42*(1+Variables!C$34)</f>
        <v>2020000</v>
      </c>
      <c r="E42" s="280">
        <f>D42*(1+Variables!D$34)</f>
        <v>2044240</v>
      </c>
      <c r="F42" s="280">
        <f>E42*(1+Variables!E$34)</f>
        <v>2070815.1199999999</v>
      </c>
      <c r="G42" s="280">
        <f>F42*(1+Variables!F$34)</f>
        <v>2101877.3467999995</v>
      </c>
      <c r="H42" s="280">
        <f>G42*(1+Variables!G$34)</f>
        <v>2135507.3843487995</v>
      </c>
      <c r="I42" s="280">
        <f>H42*(1+Variables!H$34)</f>
        <v>2173946.5172670777</v>
      </c>
      <c r="J42" s="280">
        <f>I42*(1+Variables!I$34)</f>
        <v>2215251.501095152</v>
      </c>
      <c r="K42" s="280">
        <f>J42*(1+Variables!J$34)</f>
        <v>2259556.5311170551</v>
      </c>
    </row>
    <row r="43" spans="2:11">
      <c r="B43" s="283" t="s">
        <v>333</v>
      </c>
      <c r="C43" s="284">
        <f>Parametros!C85</f>
        <v>5000000</v>
      </c>
      <c r="D43" s="280">
        <f>C43*(1+Variables!C$34)</f>
        <v>5050000</v>
      </c>
      <c r="E43" s="280">
        <f>D43*(1+Variables!D$34)</f>
        <v>5110600</v>
      </c>
      <c r="F43" s="280">
        <f>E43*(1+Variables!E$34)</f>
        <v>5177037.8</v>
      </c>
      <c r="G43" s="280">
        <f>F43*(1+Variables!F$34)</f>
        <v>5254693.3669999996</v>
      </c>
      <c r="H43" s="280">
        <f>G43*(1+Variables!G$34)</f>
        <v>5338768.4608720001</v>
      </c>
      <c r="I43" s="280">
        <f>H43*(1+Variables!H$34)</f>
        <v>5434866.2931676963</v>
      </c>
      <c r="J43" s="280">
        <f>I43*(1+Variables!I$34)</f>
        <v>5538128.7527378816</v>
      </c>
      <c r="K43" s="280">
        <f>J43*(1+Variables!J$34)</f>
        <v>5648891.3277926389</v>
      </c>
    </row>
    <row r="44" spans="2:11">
      <c r="B44" s="281" t="s">
        <v>5</v>
      </c>
      <c r="C44" s="282">
        <f>SUM(C41:C43)</f>
        <v>8200000</v>
      </c>
      <c r="D44" s="282">
        <f t="shared" ref="D44:K44" si="5">SUM(D41:D43)</f>
        <v>8282000</v>
      </c>
      <c r="E44" s="282">
        <f t="shared" si="5"/>
        <v>8381384</v>
      </c>
      <c r="F44" s="282">
        <f t="shared" si="5"/>
        <v>8490341.9919999987</v>
      </c>
      <c r="G44" s="282">
        <f t="shared" si="5"/>
        <v>8617697.1218799986</v>
      </c>
      <c r="H44" s="282">
        <f t="shared" si="5"/>
        <v>8755580.2758300789</v>
      </c>
      <c r="I44" s="282">
        <f t="shared" si="5"/>
        <v>8913180.7207950205</v>
      </c>
      <c r="J44" s="282">
        <f t="shared" si="5"/>
        <v>9082531.1544901244</v>
      </c>
      <c r="K44" s="282">
        <f t="shared" si="5"/>
        <v>9264181.7775799278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9"/>
  <sheetViews>
    <sheetView topLeftCell="A56" workbookViewId="0">
      <selection activeCell="F74" sqref="F74"/>
    </sheetView>
  </sheetViews>
  <sheetFormatPr baseColWidth="10" defaultRowHeight="15" x14ac:dyDescent="0"/>
  <cols>
    <col min="3" max="3" width="22.5" customWidth="1"/>
    <col min="4" max="12" width="14.1640625" customWidth="1"/>
  </cols>
  <sheetData>
    <row r="2" spans="2:12" ht="20">
      <c r="B2" s="28" t="s">
        <v>518</v>
      </c>
      <c r="D2" s="31"/>
      <c r="E2" s="31"/>
      <c r="F2" s="99"/>
      <c r="G2" s="99"/>
      <c r="H2" s="99"/>
      <c r="I2" s="99"/>
      <c r="J2" s="99"/>
      <c r="K2" s="99"/>
      <c r="L2" s="99"/>
    </row>
    <row r="3" spans="2:12" ht="20">
      <c r="B3" s="28"/>
      <c r="D3" s="31"/>
      <c r="E3" s="31"/>
      <c r="F3" s="99"/>
      <c r="G3" s="99"/>
      <c r="H3" s="99"/>
      <c r="I3" s="99"/>
      <c r="J3" s="99"/>
      <c r="K3" s="99"/>
      <c r="L3" s="99"/>
    </row>
    <row r="4" spans="2:12" ht="20">
      <c r="B4" s="99"/>
      <c r="C4" s="192"/>
      <c r="D4" s="33"/>
      <c r="E4" s="33"/>
      <c r="F4" s="99"/>
      <c r="G4" s="99"/>
      <c r="H4" s="99"/>
      <c r="I4" s="99"/>
      <c r="J4" s="99"/>
      <c r="K4" s="99"/>
      <c r="L4" s="99"/>
    </row>
    <row r="5" spans="2:12" ht="18">
      <c r="B5" s="100"/>
      <c r="C5" s="191" t="str">
        <f>'Costos Indirectos'!B18</f>
        <v xml:space="preserve">Grissini </v>
      </c>
      <c r="D5" s="106">
        <v>2013</v>
      </c>
      <c r="E5" s="106">
        <v>2014</v>
      </c>
      <c r="F5" s="106">
        <v>2015</v>
      </c>
      <c r="G5" s="106">
        <v>2016</v>
      </c>
      <c r="H5" s="106">
        <v>2017</v>
      </c>
      <c r="I5" s="106">
        <v>2018</v>
      </c>
      <c r="J5" s="106">
        <v>2019</v>
      </c>
      <c r="K5" s="106">
        <v>2020</v>
      </c>
      <c r="L5" s="106">
        <v>2021</v>
      </c>
    </row>
    <row r="6" spans="2:12" ht="15" customHeight="1">
      <c r="B6" s="100"/>
      <c r="C6" s="78" t="s">
        <v>223</v>
      </c>
      <c r="D6" s="100"/>
      <c r="E6" s="100"/>
      <c r="F6" s="100"/>
      <c r="G6" s="100"/>
      <c r="H6" s="100"/>
      <c r="I6" s="100"/>
      <c r="J6" s="100"/>
      <c r="K6" s="100"/>
      <c r="L6" s="100"/>
    </row>
    <row r="7" spans="2:12">
      <c r="B7" s="330" t="s">
        <v>224</v>
      </c>
      <c r="C7" s="51" t="s">
        <v>32</v>
      </c>
      <c r="D7" s="178">
        <f>'Consumo Valorizado'!D5</f>
        <v>7455667.772805986</v>
      </c>
      <c r="E7" s="178">
        <f>'Consumo Valorizado'!E5</f>
        <v>7611617.6398325264</v>
      </c>
      <c r="F7" s="178">
        <f>'Consumo Valorizado'!F5</f>
        <v>7687516.6396485521</v>
      </c>
      <c r="G7" s="178">
        <f>'Consumo Valorizado'!G5</f>
        <v>7842582.675306011</v>
      </c>
      <c r="H7" s="178">
        <f>'Consumo Valorizado'!H5</f>
        <v>8007335.7803961588</v>
      </c>
      <c r="I7" s="178">
        <f>'Consumo Valorizado'!I5</f>
        <v>8223829.273786746</v>
      </c>
      <c r="J7" s="178">
        <f>'Consumo Valorizado'!J5</f>
        <v>8390663.0430568662</v>
      </c>
      <c r="K7" s="178">
        <f>'Consumo Valorizado'!K5</f>
        <v>8577893.9541043006</v>
      </c>
      <c r="L7" s="178">
        <f>'Consumo Valorizado'!L5</f>
        <v>8748893.49695017</v>
      </c>
    </row>
    <row r="8" spans="2:12">
      <c r="B8" s="331"/>
      <c r="C8" s="51" t="s">
        <v>33</v>
      </c>
      <c r="D8" s="178">
        <f>'Consumo Valorizado'!D6</f>
        <v>9593705.3833388947</v>
      </c>
      <c r="E8" s="178">
        <f>'Consumo Valorizado'!E6</f>
        <v>9794361.6121284403</v>
      </c>
      <c r="F8" s="178">
        <f>'Consumo Valorizado'!F6</f>
        <v>9892023.2797111887</v>
      </c>
      <c r="G8" s="178">
        <f>'Consumo Valorizado'!G6</f>
        <v>10091557.685581518</v>
      </c>
      <c r="H8" s="178">
        <f>'Consumo Valorizado'!H6</f>
        <v>10303556.171609079</v>
      </c>
      <c r="I8" s="178">
        <f>'Consumo Valorizado'!I6</f>
        <v>10582133.243746437</v>
      </c>
      <c r="J8" s="178">
        <f>'Consumo Valorizado'!J6</f>
        <v>10796808.818783518</v>
      </c>
      <c r="K8" s="178">
        <f>'Consumo Valorizado'!K6</f>
        <v>11037731.664347179</v>
      </c>
      <c r="L8" s="178">
        <f>'Consumo Valorizado'!L6</f>
        <v>11257767.020431725</v>
      </c>
    </row>
    <row r="9" spans="2:12">
      <c r="B9" s="331"/>
      <c r="C9" s="51" t="s">
        <v>34</v>
      </c>
      <c r="D9" s="178">
        <f>'Consumo Valorizado'!D7</f>
        <v>137119.78769341146</v>
      </c>
      <c r="E9" s="178">
        <f>'Consumo Valorizado'!E7</f>
        <v>140001.66381440291</v>
      </c>
      <c r="F9" s="178">
        <f>'Consumo Valorizado'!F7</f>
        <v>141357.83833898211</v>
      </c>
      <c r="G9" s="178">
        <f>'Consumo Valorizado'!G7</f>
        <v>144239.95198106547</v>
      </c>
      <c r="H9" s="178">
        <f>'Consumo Valorizado'!H7</f>
        <v>147280.48530988678</v>
      </c>
      <c r="I9" s="178">
        <f>'Consumo Valorizado'!I7</f>
        <v>151292.38242899219</v>
      </c>
      <c r="J9" s="178">
        <f>'Consumo Valorizado'!J7</f>
        <v>154327.81625988401</v>
      </c>
      <c r="K9" s="178">
        <f>'Consumo Valorizado'!K7</f>
        <v>157767.83459175646</v>
      </c>
      <c r="L9" s="178">
        <f>'Consumo Valorizado'!L7</f>
        <v>160912.71974039864</v>
      </c>
    </row>
    <row r="10" spans="2:12">
      <c r="B10" s="331"/>
      <c r="C10" s="51" t="s">
        <v>35</v>
      </c>
      <c r="D10" s="178">
        <f>'Consumo Valorizado'!D8</f>
        <v>3289278.5538020385</v>
      </c>
      <c r="E10" s="178">
        <f>'Consumo Valorizado'!E8</f>
        <v>3358067.5571354707</v>
      </c>
      <c r="F10" s="178">
        <f>'Consumo Valorizado'!F8</f>
        <v>3391551.2626272188</v>
      </c>
      <c r="G10" s="178">
        <f>'Consumo Valorizado'!G8</f>
        <v>3459962.8069777745</v>
      </c>
      <c r="H10" s="178">
        <f>'Consumo Valorizado'!H8</f>
        <v>3532648.0071268813</v>
      </c>
      <c r="I10" s="178">
        <f>'Consumo Valorizado'!I8</f>
        <v>3628160.0093097328</v>
      </c>
      <c r="J10" s="178">
        <f>'Consumo Valorizado'!J8</f>
        <v>3701763.0795835843</v>
      </c>
      <c r="K10" s="178">
        <f>'Consumo Valorizado'!K8</f>
        <v>3784365.0356998784</v>
      </c>
      <c r="L10" s="178">
        <f>'Consumo Valorizado'!L8</f>
        <v>3859805.9002094581</v>
      </c>
    </row>
    <row r="11" spans="2:12">
      <c r="B11" s="331"/>
      <c r="C11" s="51" t="s">
        <v>36</v>
      </c>
      <c r="D11" s="178">
        <f>'Consumo Valorizado'!D9</f>
        <v>2466936.7155309143</v>
      </c>
      <c r="E11" s="178">
        <f>'Consumo Valorizado'!E9</f>
        <v>2518548.1096803104</v>
      </c>
      <c r="F11" s="178">
        <f>'Consumo Valorizado'!F9</f>
        <v>2543661.4174356931</v>
      </c>
      <c r="G11" s="178">
        <f>'Consumo Valorizado'!G9</f>
        <v>2594970.2139384267</v>
      </c>
      <c r="H11" s="178">
        <f>'Consumo Valorizado'!H9</f>
        <v>2649484.9787464547</v>
      </c>
      <c r="I11" s="178">
        <f>'Consumo Valorizado'!I9</f>
        <v>2721122.9648723989</v>
      </c>
      <c r="J11" s="178">
        <f>'Consumo Valorizado'!J9</f>
        <v>2776322.6740276567</v>
      </c>
      <c r="K11" s="178">
        <f>'Consumo Valorizado'!K9</f>
        <v>2838273.2517968342</v>
      </c>
      <c r="L11" s="178">
        <f>'Consumo Valorizado'!L9</f>
        <v>2894853.7519448912</v>
      </c>
    </row>
    <row r="12" spans="2:12">
      <c r="B12" s="331"/>
      <c r="C12" s="51" t="s">
        <v>39</v>
      </c>
      <c r="D12" s="178">
        <f>'Consumo Valorizado'!D10</f>
        <v>0</v>
      </c>
      <c r="E12" s="178">
        <f>'Consumo Valorizado'!E10</f>
        <v>0</v>
      </c>
      <c r="F12" s="178">
        <f>'Consumo Valorizado'!F10</f>
        <v>0</v>
      </c>
      <c r="G12" s="178">
        <f>'Consumo Valorizado'!G10</f>
        <v>0</v>
      </c>
      <c r="H12" s="178">
        <f>'Consumo Valorizado'!H10</f>
        <v>0</v>
      </c>
      <c r="I12" s="178">
        <f>'Consumo Valorizado'!I10</f>
        <v>0</v>
      </c>
      <c r="J12" s="178">
        <f>'Consumo Valorizado'!J10</f>
        <v>0</v>
      </c>
      <c r="K12" s="178">
        <f>'Consumo Valorizado'!K10</f>
        <v>0</v>
      </c>
      <c r="L12" s="178">
        <f>'Consumo Valorizado'!L10</f>
        <v>0</v>
      </c>
    </row>
    <row r="13" spans="2:12">
      <c r="B13" s="331"/>
      <c r="C13" s="51" t="s">
        <v>42</v>
      </c>
      <c r="D13" s="178">
        <f>'Consumo Valorizado'!D11</f>
        <v>1425356.3811950609</v>
      </c>
      <c r="E13" s="178">
        <f>'Consumo Valorizado'!E11</f>
        <v>1455162.7418262616</v>
      </c>
      <c r="F13" s="178">
        <f>'Consumo Valorizado'!F11</f>
        <v>1469672.493773262</v>
      </c>
      <c r="G13" s="178">
        <f>'Consumo Valorizado'!G11</f>
        <v>1499317.0339641422</v>
      </c>
      <c r="H13" s="178">
        <f>'Consumo Valorizado'!H11</f>
        <v>1530814.2224931987</v>
      </c>
      <c r="I13" s="178">
        <f>'Consumo Valorizado'!I11</f>
        <v>1572203.6265251827</v>
      </c>
      <c r="J13" s="178">
        <f>'Consumo Valorizado'!J11</f>
        <v>1604097.5640583062</v>
      </c>
      <c r="K13" s="178">
        <f>'Consumo Valorizado'!K11</f>
        <v>1639891.1283694438</v>
      </c>
      <c r="L13" s="178">
        <f>'Consumo Valorizado'!L11</f>
        <v>1672582.5008010711</v>
      </c>
    </row>
    <row r="14" spans="2:12">
      <c r="B14" s="331"/>
      <c r="C14" s="51" t="s">
        <v>43</v>
      </c>
      <c r="D14" s="178">
        <f>'Consumo Valorizado'!D12</f>
        <v>4277138.1636996903</v>
      </c>
      <c r="E14" s="178">
        <f>'Consumo Valorizado'!E12</f>
        <v>4153060.7050374667</v>
      </c>
      <c r="F14" s="178">
        <f>'Consumo Valorizado'!F12</f>
        <v>4191476.2163096019</v>
      </c>
      <c r="G14" s="178">
        <f>'Consumo Valorizado'!G12</f>
        <v>4278681.0174806295</v>
      </c>
      <c r="H14" s="178">
        <f>'Consumo Valorizado'!H12</f>
        <v>4368775.0436314652</v>
      </c>
      <c r="I14" s="178">
        <f>'Consumo Valorizado'!I12</f>
        <v>4488582.4550487725</v>
      </c>
      <c r="J14" s="178">
        <f>'Consumo Valorizado'!J12</f>
        <v>4577420.0595789729</v>
      </c>
      <c r="K14" s="178">
        <f>'Consumo Valorizado'!K12</f>
        <v>4679878.2507109521</v>
      </c>
      <c r="L14" s="178">
        <f>'Consumo Valorizado'!L12</f>
        <v>4772442.5836406546</v>
      </c>
    </row>
    <row r="15" spans="2:12">
      <c r="B15" s="331"/>
      <c r="C15" s="51" t="s">
        <v>37</v>
      </c>
      <c r="D15" s="178">
        <f>'Consumo Valorizado'!D13</f>
        <v>0</v>
      </c>
      <c r="E15" s="178">
        <f>'Consumo Valorizado'!E13</f>
        <v>0</v>
      </c>
      <c r="F15" s="178">
        <f>'Consumo Valorizado'!F13</f>
        <v>0</v>
      </c>
      <c r="G15" s="178">
        <f>'Consumo Valorizado'!G13</f>
        <v>0</v>
      </c>
      <c r="H15" s="178">
        <f>'Consumo Valorizado'!H13</f>
        <v>0</v>
      </c>
      <c r="I15" s="178">
        <f>'Consumo Valorizado'!I13</f>
        <v>0</v>
      </c>
      <c r="J15" s="178">
        <f>'Consumo Valorizado'!J13</f>
        <v>0</v>
      </c>
      <c r="K15" s="178">
        <f>'Consumo Valorizado'!K13</f>
        <v>0</v>
      </c>
      <c r="L15" s="178">
        <f>'Consumo Valorizado'!L13</f>
        <v>0</v>
      </c>
    </row>
    <row r="16" spans="2:12">
      <c r="B16" s="331"/>
      <c r="C16" s="51" t="s">
        <v>38</v>
      </c>
      <c r="D16" s="178">
        <f>'Consumo Valorizado'!D14</f>
        <v>5909933.333333333</v>
      </c>
      <c r="E16" s="178">
        <f>'Consumo Valorizado'!E14</f>
        <v>5968689.2666666666</v>
      </c>
      <c r="F16" s="178">
        <f>'Consumo Valorizado'!F14</f>
        <v>5995583.5129999984</v>
      </c>
      <c r="G16" s="178">
        <f>'Consumo Valorizado'!G14</f>
        <v>6058024.0491299992</v>
      </c>
      <c r="H16" s="178">
        <f>'Consumo Valorizado'!H14</f>
        <v>6118604.2896212982</v>
      </c>
      <c r="I16" s="178">
        <f>'Consumo Valorizado'!I14</f>
        <v>6193036.3793967748</v>
      </c>
      <c r="J16" s="178">
        <f>'Consumo Valorizado'!J14</f>
        <v>6253947.8165077223</v>
      </c>
      <c r="K16" s="178">
        <f>'Consumo Valorizado'!K14</f>
        <v>6330026.3441090304</v>
      </c>
      <c r="L16" s="178">
        <f>'Consumo Valorizado'!L14</f>
        <v>6392285.1422088724</v>
      </c>
    </row>
    <row r="17" spans="2:12">
      <c r="B17" s="331"/>
      <c r="C17" s="78" t="s">
        <v>225</v>
      </c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331"/>
      <c r="C18" s="51" t="s">
        <v>7</v>
      </c>
      <c r="D18" s="178">
        <f>MOD!D123+MOD!D123</f>
        <v>6868334.879999999</v>
      </c>
      <c r="E18" s="178">
        <f>MOD!E123+MOD!E123</f>
        <v>6947101.7567999996</v>
      </c>
      <c r="F18" s="178">
        <f>MOD!F123+MOD!F123</f>
        <v>6991611.1163279982</v>
      </c>
      <c r="G18" s="178">
        <f>MOD!G123+MOD!G123</f>
        <v>7090283.3137941584</v>
      </c>
      <c r="H18" s="178">
        <f>MOD!H123+MOD!H123</f>
        <v>7179605.8336357679</v>
      </c>
      <c r="I18" s="178">
        <f>MOD!I123+MOD!I123</f>
        <v>7276162.0226017311</v>
      </c>
      <c r="J18" s="178">
        <f>MOD!J123+MOD!J123</f>
        <v>7390940.05666715</v>
      </c>
      <c r="K18" s="178">
        <f>MOD!K123+MOD!K123</f>
        <v>7489926.0306249503</v>
      </c>
      <c r="L18" s="178">
        <f>MOD!L123+MOD!L123</f>
        <v>7565660.2204677165</v>
      </c>
    </row>
    <row r="19" spans="2:12">
      <c r="B19" s="331"/>
      <c r="C19" s="51" t="s">
        <v>21</v>
      </c>
      <c r="D19" s="178">
        <f>MOD!D124+MOD!D124</f>
        <v>9414125.2333333325</v>
      </c>
      <c r="E19" s="178">
        <f>MOD!E124+MOD!E124</f>
        <v>9511601.9231666662</v>
      </c>
      <c r="F19" s="178">
        <f>MOD!F124+MOD!F124</f>
        <v>9559351.432502497</v>
      </c>
      <c r="G19" s="178">
        <f>MOD!G124+MOD!G124</f>
        <v>9668483.814074425</v>
      </c>
      <c r="H19" s="178">
        <f>MOD!H124+MOD!H124</f>
        <v>9771990.7584017105</v>
      </c>
      <c r="I19" s="178">
        <f>MOD!I124+MOD!I124</f>
        <v>9894279.6142345779</v>
      </c>
      <c r="J19" s="178">
        <f>MOD!J124+MOD!J124</f>
        <v>10007599.542863246</v>
      </c>
      <c r="K19" s="178">
        <f>MOD!K124+MOD!K124</f>
        <v>10132702.303035988</v>
      </c>
      <c r="L19" s="178">
        <f>MOD!L124+MOD!L124</f>
        <v>10233127.855768822</v>
      </c>
    </row>
    <row r="20" spans="2:12">
      <c r="B20" s="331"/>
      <c r="C20" s="51" t="s">
        <v>22</v>
      </c>
      <c r="D20" s="178">
        <f>MOD!D125+MOD!D125</f>
        <v>7819067.2266666666</v>
      </c>
      <c r="E20" s="178">
        <f>MOD!E125+MOD!E125</f>
        <v>7906121.4489333332</v>
      </c>
      <c r="F20" s="178">
        <f>MOD!F125+MOD!F125</f>
        <v>7953484.6555059981</v>
      </c>
      <c r="G20" s="178">
        <f>MOD!G125+MOD!G125</f>
        <v>8059301.0309536196</v>
      </c>
      <c r="H20" s="178">
        <f>MOD!H125+MOD!H125</f>
        <v>8156267.096110859</v>
      </c>
      <c r="I20" s="178">
        <f>MOD!I125+MOD!I125</f>
        <v>8263680.1256710477</v>
      </c>
      <c r="J20" s="178">
        <f>MOD!J125+MOD!J125</f>
        <v>8383369.3616024842</v>
      </c>
      <c r="K20" s="178">
        <f>MOD!K125+MOD!K125</f>
        <v>8493419.6670137979</v>
      </c>
      <c r="L20" s="178">
        <f>MOD!L125+MOD!L125</f>
        <v>8578793.9983229879</v>
      </c>
    </row>
    <row r="21" spans="2:12" ht="15" customHeight="1">
      <c r="B21" s="332"/>
      <c r="C21" s="106" t="s">
        <v>226</v>
      </c>
      <c r="D21" s="179">
        <f t="shared" ref="D21:L21" si="0">SUM(D18:D20)+SUM(D7:D16)</f>
        <v>58656663.431399323</v>
      </c>
      <c r="E21" s="179">
        <f t="shared" si="0"/>
        <v>59364334.425021544</v>
      </c>
      <c r="F21" s="179">
        <f t="shared" si="0"/>
        <v>59817289.865180992</v>
      </c>
      <c r="G21" s="179">
        <f t="shared" si="0"/>
        <v>60787403.593181767</v>
      </c>
      <c r="H21" s="179">
        <f t="shared" si="0"/>
        <v>61766362.667082757</v>
      </c>
      <c r="I21" s="179">
        <f t="shared" si="0"/>
        <v>62994482.097622395</v>
      </c>
      <c r="J21" s="179">
        <f t="shared" si="0"/>
        <v>64037259.832989395</v>
      </c>
      <c r="K21" s="179">
        <f t="shared" si="0"/>
        <v>65161875.464404106</v>
      </c>
      <c r="L21" s="179">
        <f t="shared" si="0"/>
        <v>66137125.190486766</v>
      </c>
    </row>
    <row r="22" spans="2:12">
      <c r="B22" s="327" t="s">
        <v>227</v>
      </c>
      <c r="C22" s="147" t="str">
        <f>'Costos Indirectos'!B7</f>
        <v>Servicios</v>
      </c>
      <c r="D22" s="178">
        <f>'Costos Indirectos'!D34</f>
        <v>0</v>
      </c>
      <c r="E22" s="178">
        <f>'Costos Indirectos'!E34</f>
        <v>0</v>
      </c>
      <c r="F22" s="178">
        <f>'Costos Indirectos'!F34</f>
        <v>0</v>
      </c>
      <c r="G22" s="178">
        <f>'Costos Indirectos'!G34</f>
        <v>0</v>
      </c>
      <c r="H22" s="178">
        <f>'Costos Indirectos'!H34</f>
        <v>0</v>
      </c>
      <c r="I22" s="178">
        <f>'Costos Indirectos'!I34</f>
        <v>0</v>
      </c>
      <c r="J22" s="178">
        <f>'Costos Indirectos'!J34</f>
        <v>0</v>
      </c>
      <c r="K22" s="178">
        <f>'Costos Indirectos'!K34</f>
        <v>0</v>
      </c>
      <c r="L22" s="178">
        <f>'Costos Indirectos'!L34</f>
        <v>0</v>
      </c>
    </row>
    <row r="23" spans="2:12" ht="30">
      <c r="B23" s="328"/>
      <c r="C23" s="147" t="str">
        <f>'Costos Indirectos'!B8</f>
        <v>Respuestos y Mantenimiento</v>
      </c>
      <c r="D23" s="178">
        <f>'Costos Indirectos'!D35</f>
        <v>38504.247115540187</v>
      </c>
      <c r="E23" s="178">
        <f>'Costos Indirectos'!E35</f>
        <v>38948.029339468194</v>
      </c>
      <c r="F23" s="178">
        <f>'Costos Indirectos'!F35</f>
        <v>39293.084312108804</v>
      </c>
      <c r="G23" s="178">
        <f>'Costos Indirectos'!G35</f>
        <v>39854.726565954224</v>
      </c>
      <c r="H23" s="178">
        <f>'Costos Indirectos'!H35</f>
        <v>40457.137735844946</v>
      </c>
      <c r="I23" s="178">
        <f>'Costos Indirectos'!I35</f>
        <v>41167.943061173588</v>
      </c>
      <c r="J23" s="178">
        <f>'Costos Indirectos'!J35</f>
        <v>41935.793687606558</v>
      </c>
      <c r="K23" s="178">
        <f>'Costos Indirectos'!K35</f>
        <v>42807.033186345187</v>
      </c>
      <c r="L23" s="178">
        <f>'Costos Indirectos'!L35</f>
        <v>43733.351620975023</v>
      </c>
    </row>
    <row r="24" spans="2:12" ht="30">
      <c r="B24" s="328"/>
      <c r="C24" s="147" t="str">
        <f>'Costos Indirectos'!B9</f>
        <v>Depreciación de maquinaria</v>
      </c>
      <c r="D24" s="178">
        <f>'Costos Indirectos'!D36</f>
        <v>552062.04071696592</v>
      </c>
      <c r="E24" s="178">
        <f>'Costos Indirectos'!E36</f>
        <v>551803.21503457869</v>
      </c>
      <c r="F24" s="178">
        <f>'Costos Indirectos'!F36</f>
        <v>549547.72305828321</v>
      </c>
      <c r="G24" s="178">
        <f>'Costos Indirectos'!G36</f>
        <v>506048.56183242326</v>
      </c>
      <c r="H24" s="178">
        <f>'Costos Indirectos'!H36</f>
        <v>505607.84886272479</v>
      </c>
      <c r="I24" s="178">
        <f>'Costos Indirectos'!I36</f>
        <v>500696.39610964747</v>
      </c>
      <c r="J24" s="178">
        <f>'Costos Indirectos'!J36</f>
        <v>383316.19707679813</v>
      </c>
      <c r="K24" s="178">
        <f>'Costos Indirectos'!K36</f>
        <v>383607.65178598865</v>
      </c>
      <c r="L24" s="178">
        <f>'Costos Indirectos'!L36</f>
        <v>383472.29989764065</v>
      </c>
    </row>
    <row r="25" spans="2:12">
      <c r="B25" s="328"/>
      <c r="C25" s="147" t="str">
        <f>'Costos Indirectos'!B10</f>
        <v>MO Indirecta</v>
      </c>
      <c r="D25" s="178">
        <f>'Costos Indirectos'!D37</f>
        <v>7409559.1874090182</v>
      </c>
      <c r="E25" s="178">
        <f>'Costos Indirectos'!E37</f>
        <v>7480146.1843931526</v>
      </c>
      <c r="F25" s="178">
        <f>'Costos Indirectos'!F37</f>
        <v>7524066.8479141658</v>
      </c>
      <c r="G25" s="178">
        <f>'Costos Indirectos'!G37</f>
        <v>7669207.5066998405</v>
      </c>
      <c r="H25" s="178">
        <f>'Costos Indirectos'!H37</f>
        <v>7777466.3924385477</v>
      </c>
      <c r="I25" s="178">
        <f>'Costos Indirectos'!I37</f>
        <v>7851917.9567633802</v>
      </c>
      <c r="J25" s="178">
        <f>'Costos Indirectos'!J37</f>
        <v>8084710.8616747465</v>
      </c>
      <c r="K25" s="178">
        <f>'Costos Indirectos'!K37</f>
        <v>8171766.6573800091</v>
      </c>
      <c r="L25" s="178">
        <f>'Costos Indirectos'!L37</f>
        <v>8209727.7529307557</v>
      </c>
    </row>
    <row r="26" spans="2:12" ht="36">
      <c r="B26" s="329"/>
      <c r="C26" s="106" t="s">
        <v>230</v>
      </c>
      <c r="D26" s="179">
        <f t="shared" ref="D26:L26" si="1">SUM(D22:D25)</f>
        <v>8000125.4752415242</v>
      </c>
      <c r="E26" s="179">
        <f t="shared" si="1"/>
        <v>8070897.4287671996</v>
      </c>
      <c r="F26" s="179">
        <f t="shared" si="1"/>
        <v>8112907.6552845575</v>
      </c>
      <c r="G26" s="179">
        <f t="shared" si="1"/>
        <v>8215110.7950982181</v>
      </c>
      <c r="H26" s="179">
        <f t="shared" si="1"/>
        <v>8323531.3790371176</v>
      </c>
      <c r="I26" s="179">
        <f t="shared" si="1"/>
        <v>8393782.2959342003</v>
      </c>
      <c r="J26" s="179">
        <f t="shared" si="1"/>
        <v>8509962.8524391521</v>
      </c>
      <c r="K26" s="179">
        <f t="shared" si="1"/>
        <v>8598181.3423523437</v>
      </c>
      <c r="L26" s="179">
        <f t="shared" si="1"/>
        <v>8636933.4044493716</v>
      </c>
    </row>
    <row r="27" spans="2:12" ht="16" thickBot="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 ht="36">
      <c r="B28" s="99"/>
      <c r="C28" s="106" t="s">
        <v>231</v>
      </c>
      <c r="D28" s="180">
        <f t="shared" ref="D28:L28" si="2">D21+D26</f>
        <v>66656788.90664085</v>
      </c>
      <c r="E28" s="180">
        <f t="shared" si="2"/>
        <v>67435231.853788748</v>
      </c>
      <c r="F28" s="180">
        <f t="shared" si="2"/>
        <v>67930197.520465553</v>
      </c>
      <c r="G28" s="180">
        <f t="shared" si="2"/>
        <v>69002514.388279989</v>
      </c>
      <c r="H28" s="180">
        <f t="shared" si="2"/>
        <v>70089894.046119869</v>
      </c>
      <c r="I28" s="180">
        <f t="shared" si="2"/>
        <v>71388264.393556595</v>
      </c>
      <c r="J28" s="180">
        <f t="shared" si="2"/>
        <v>72547222.685428545</v>
      </c>
      <c r="K28" s="180">
        <f t="shared" si="2"/>
        <v>73760056.806756452</v>
      </c>
      <c r="L28" s="180">
        <f t="shared" si="2"/>
        <v>74774058.594936132</v>
      </c>
    </row>
    <row r="29" spans="2:12" ht="31" thickBot="1">
      <c r="B29" s="99"/>
      <c r="C29" s="147" t="s">
        <v>232</v>
      </c>
      <c r="D29" s="181">
        <f>'Plan de producción'!D39</f>
        <v>738741.66666666663</v>
      </c>
      <c r="E29" s="181">
        <f>'Plan de producción'!E39</f>
        <v>746086.15833333333</v>
      </c>
      <c r="F29" s="181">
        <f>'Plan de producción'!F39</f>
        <v>749447.9391249998</v>
      </c>
      <c r="G29" s="181">
        <f>'Plan de producción'!G39</f>
        <v>757253.00614124991</v>
      </c>
      <c r="H29" s="181">
        <f>'Plan de producción'!H39</f>
        <v>764825.53620266228</v>
      </c>
      <c r="I29" s="181">
        <f>'Plan de producción'!I39</f>
        <v>774129.54742459685</v>
      </c>
      <c r="J29" s="181">
        <f>'Plan de producción'!J39</f>
        <v>781743.47706346528</v>
      </c>
      <c r="K29" s="181">
        <f>'Plan de producción'!K39</f>
        <v>791253.29301362881</v>
      </c>
      <c r="L29" s="181">
        <f>'Plan de producción'!L39</f>
        <v>799035.64277610905</v>
      </c>
    </row>
    <row r="30" spans="2:12" ht="16" thickBot="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 ht="16" thickBot="1">
      <c r="B31" s="99"/>
      <c r="C31" s="147" t="s">
        <v>233</v>
      </c>
      <c r="D31" s="182">
        <f>D28/D29</f>
        <v>90.230173705252199</v>
      </c>
      <c r="E31" s="182">
        <f t="shared" ref="E31:L31" si="3">E28/E29</f>
        <v>90.385314216833805</v>
      </c>
      <c r="F31" s="182">
        <f t="shared" si="3"/>
        <v>90.640315323004089</v>
      </c>
      <c r="G31" s="182">
        <f t="shared" si="3"/>
        <v>91.122139930348453</v>
      </c>
      <c r="H31" s="182">
        <f t="shared" si="3"/>
        <v>91.64167607963806</v>
      </c>
      <c r="I31" s="182">
        <f t="shared" si="3"/>
        <v>92.217464933425859</v>
      </c>
      <c r="J31" s="182">
        <f t="shared" si="3"/>
        <v>92.801826704003119</v>
      </c>
      <c r="K31" s="182">
        <f t="shared" si="3"/>
        <v>93.219273092473543</v>
      </c>
      <c r="L31" s="182">
        <f t="shared" si="3"/>
        <v>93.580379387265879</v>
      </c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4" spans="2:12" ht="15" customHeight="1">
      <c r="B34" s="100"/>
      <c r="C34" s="106" t="str">
        <f>'Costos Indirectos'!B19</f>
        <v>Kamish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B35" s="100"/>
      <c r="C35" s="78" t="s">
        <v>223</v>
      </c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330" t="s">
        <v>224</v>
      </c>
      <c r="C36" s="51" t="s">
        <v>32</v>
      </c>
      <c r="D36" s="178">
        <f>'Consumo Valorizado'!D19</f>
        <v>6279154.69637571</v>
      </c>
      <c r="E36" s="178">
        <f>'Consumo Valorizado'!E19</f>
        <v>6411514.2772635259</v>
      </c>
      <c r="F36" s="178">
        <f>'Consumo Valorizado'!F19</f>
        <v>6509979.7373675592</v>
      </c>
      <c r="G36" s="178">
        <f>'Consumo Valorizado'!G19</f>
        <v>6638569.5727287605</v>
      </c>
      <c r="H36" s="178">
        <f>'Consumo Valorizado'!H19</f>
        <v>6785201.3899866669</v>
      </c>
      <c r="I36" s="178">
        <f>'Consumo Valorizado'!I19</f>
        <v>6990061.9093116261</v>
      </c>
      <c r="J36" s="178">
        <f>'Consumo Valorizado'!J19</f>
        <v>7138160.2592384322</v>
      </c>
      <c r="K36" s="178">
        <f>'Consumo Valorizado'!K19</f>
        <v>7281339.5024842881</v>
      </c>
      <c r="L36" s="178">
        <f>'Consumo Valorizado'!L19</f>
        <v>7427702.3131161612</v>
      </c>
    </row>
    <row r="37" spans="2:12">
      <c r="B37" s="331"/>
      <c r="C37" s="51" t="s">
        <v>33</v>
      </c>
      <c r="D37" s="178">
        <f>'Consumo Valorizado'!D20</f>
        <v>6527529.1928828871</v>
      </c>
      <c r="E37" s="178">
        <f>'Consumo Valorizado'!E20</f>
        <v>6665114.1881008921</v>
      </c>
      <c r="F37" s="178">
        <f>'Consumo Valorizado'!F20</f>
        <v>6767472.6279464709</v>
      </c>
      <c r="G37" s="178">
        <f>'Consumo Valorizado'!G20</f>
        <v>6901149.2926171878</v>
      </c>
      <c r="H37" s="178">
        <f>'Consumo Valorizado'!H20</f>
        <v>7053580.9514033552</v>
      </c>
      <c r="I37" s="178">
        <f>'Consumo Valorizado'!I20</f>
        <v>7266545.0793779055</v>
      </c>
      <c r="J37" s="178">
        <f>'Consumo Valorizado'!J20</f>
        <v>7420501.1160113858</v>
      </c>
      <c r="K37" s="178">
        <f>'Consumo Valorizado'!K20</f>
        <v>7569344.1279388014</v>
      </c>
      <c r="L37" s="178">
        <f>'Consumo Valorizado'!L20</f>
        <v>7721495.5743379388</v>
      </c>
    </row>
    <row r="38" spans="2:12">
      <c r="B38" s="331"/>
      <c r="C38" s="51" t="s">
        <v>34</v>
      </c>
      <c r="D38" s="178">
        <f>'Consumo Valorizado'!D21</f>
        <v>159285.68987041665</v>
      </c>
      <c r="E38" s="178">
        <f>'Consumo Valorizado'!E21</f>
        <v>162659.27797262915</v>
      </c>
      <c r="F38" s="178">
        <f>'Consumo Valorizado'!F21</f>
        <v>165110.79050412716</v>
      </c>
      <c r="G38" s="178">
        <f>'Consumo Valorizado'!G21</f>
        <v>168408.09683399287</v>
      </c>
      <c r="H38" s="178">
        <f>'Consumo Valorizado'!H21</f>
        <v>172140.04086691295</v>
      </c>
      <c r="I38" s="178">
        <f>'Consumo Valorizado'!I21</f>
        <v>177372.37926322041</v>
      </c>
      <c r="J38" s="178">
        <f>'Consumo Valorizado'!J21</f>
        <v>181090.72927246598</v>
      </c>
      <c r="K38" s="178">
        <f>'Consumo Valorizado'!K21</f>
        <v>184718.78631294088</v>
      </c>
      <c r="L38" s="178">
        <f>'Consumo Valorizado'!L21</f>
        <v>188431.59696152832</v>
      </c>
    </row>
    <row r="39" spans="2:12">
      <c r="B39" s="331"/>
      <c r="C39" s="51" t="s">
        <v>35</v>
      </c>
      <c r="D39" s="178">
        <f>'Consumo Valorizado'!D22</f>
        <v>2547334.7668332136</v>
      </c>
      <c r="E39" s="178">
        <f>'Consumo Valorizado'!E22</f>
        <v>2601020.7276349659</v>
      </c>
      <c r="F39" s="178">
        <f>'Consumo Valorizado'!F22</f>
        <v>2640965.2580415136</v>
      </c>
      <c r="G39" s="178">
        <f>'Consumo Valorizado'!G22</f>
        <v>2693131.5650836066</v>
      </c>
      <c r="H39" s="178">
        <f>'Consumo Valorizado'!H22</f>
        <v>2752617.0944541208</v>
      </c>
      <c r="I39" s="178">
        <f>'Consumo Valorizado'!I22</f>
        <v>2835724.9403087562</v>
      </c>
      <c r="J39" s="178">
        <f>'Consumo Valorizado'!J22</f>
        <v>2895805.357373469</v>
      </c>
      <c r="K39" s="178">
        <f>'Consumo Valorizado'!K22</f>
        <v>2953890.3083697665</v>
      </c>
      <c r="L39" s="178">
        <f>'Consumo Valorizado'!L22</f>
        <v>3013266.6160527677</v>
      </c>
    </row>
    <row r="40" spans="2:12">
      <c r="B40" s="331"/>
      <c r="C40" s="51" t="s">
        <v>36</v>
      </c>
      <c r="D40" s="178">
        <f>'Consumo Valorizado'!D23</f>
        <v>1910483.8827911068</v>
      </c>
      <c r="E40" s="178">
        <f>'Consumo Valorizado'!E23</f>
        <v>1950763.5642721755</v>
      </c>
      <c r="F40" s="178">
        <f>'Consumo Valorizado'!F23</f>
        <v>1980722.3631538171</v>
      </c>
      <c r="G40" s="178">
        <f>'Consumo Valorizado'!G23</f>
        <v>2019847.2016853183</v>
      </c>
      <c r="H40" s="178">
        <f>'Consumo Valorizado'!H23</f>
        <v>2064462.0209213395</v>
      </c>
      <c r="I40" s="178">
        <f>'Consumo Valorizado'!I23</f>
        <v>2126796.0170818451</v>
      </c>
      <c r="J40" s="178">
        <f>'Consumo Valorizado'!J23</f>
        <v>2171854.3030450013</v>
      </c>
      <c r="K40" s="178">
        <f>'Consumo Valorizado'!K23</f>
        <v>2215417.3215051093</v>
      </c>
      <c r="L40" s="178">
        <f>'Consumo Valorizado'!L23</f>
        <v>2259949.4364774344</v>
      </c>
    </row>
    <row r="41" spans="2:12">
      <c r="B41" s="331"/>
      <c r="C41" s="51" t="s">
        <v>39</v>
      </c>
      <c r="D41" s="178">
        <f>'Consumo Valorizado'!D24</f>
        <v>12736691.730361188</v>
      </c>
      <c r="E41" s="178">
        <f>'Consumo Valorizado'!E24</f>
        <v>13005108.734425293</v>
      </c>
      <c r="F41" s="178">
        <f>'Consumo Valorizado'!F24</f>
        <v>13204843.248482499</v>
      </c>
      <c r="G41" s="178">
        <f>'Consumo Valorizado'!G24</f>
        <v>13465664.174797373</v>
      </c>
      <c r="H41" s="178">
        <f>'Consumo Valorizado'!H24</f>
        <v>13763093.230638769</v>
      </c>
      <c r="I41" s="178">
        <f>'Consumo Valorizado'!I24</f>
        <v>14178630.171903983</v>
      </c>
      <c r="J41" s="178">
        <f>'Consumo Valorizado'!J24</f>
        <v>14479030.057308897</v>
      </c>
      <c r="K41" s="178">
        <f>'Consumo Valorizado'!K24</f>
        <v>14769445.534526823</v>
      </c>
      <c r="L41" s="178">
        <f>'Consumo Valorizado'!L24</f>
        <v>15066335.578794131</v>
      </c>
    </row>
    <row r="42" spans="2:12">
      <c r="B42" s="331"/>
      <c r="C42" s="51" t="s">
        <v>42</v>
      </c>
      <c r="D42" s="178">
        <f>'Consumo Valorizado'!D25</f>
        <v>2069712.8976517238</v>
      </c>
      <c r="E42" s="178">
        <f>'Consumo Valorizado'!E25</f>
        <v>2113329.5354253193</v>
      </c>
      <c r="F42" s="178">
        <f>'Consumo Valorizado'!F25</f>
        <v>2145784.6809241762</v>
      </c>
      <c r="G42" s="178">
        <f>'Consumo Valorizado'!G25</f>
        <v>2188169.1304382314</v>
      </c>
      <c r="H42" s="178">
        <f>'Consumo Valorizado'!H25</f>
        <v>2236501.514993492</v>
      </c>
      <c r="I42" s="178">
        <f>'Consumo Valorizado'!I25</f>
        <v>2304027.9147391841</v>
      </c>
      <c r="J42" s="178">
        <f>'Consumo Valorizado'!J25</f>
        <v>2352842.1895953938</v>
      </c>
      <c r="K42" s="178">
        <f>'Consumo Valorizado'!K25</f>
        <v>2400035.3090159502</v>
      </c>
      <c r="L42" s="178">
        <f>'Consumo Valorizado'!L25</f>
        <v>2448279.0436355327</v>
      </c>
    </row>
    <row r="43" spans="2:12">
      <c r="B43" s="331"/>
      <c r="C43" s="51" t="s">
        <v>43</v>
      </c>
      <c r="D43" s="178">
        <f>'Consumo Valorizado'!D26</f>
        <v>0</v>
      </c>
      <c r="E43" s="178">
        <f>'Consumo Valorizado'!E26</f>
        <v>0</v>
      </c>
      <c r="F43" s="178">
        <f>'Consumo Valorizado'!F26</f>
        <v>0</v>
      </c>
      <c r="G43" s="178">
        <f>'Consumo Valorizado'!G26</f>
        <v>0</v>
      </c>
      <c r="H43" s="178">
        <f>'Consumo Valorizado'!H26</f>
        <v>0</v>
      </c>
      <c r="I43" s="178">
        <f>'Consumo Valorizado'!I26</f>
        <v>0</v>
      </c>
      <c r="J43" s="178">
        <f>'Consumo Valorizado'!J26</f>
        <v>0</v>
      </c>
      <c r="K43" s="178">
        <f>'Consumo Valorizado'!K26</f>
        <v>0</v>
      </c>
      <c r="L43" s="178">
        <f>'Consumo Valorizado'!L26</f>
        <v>0</v>
      </c>
    </row>
    <row r="44" spans="2:12">
      <c r="B44" s="331"/>
      <c r="C44" s="51" t="s">
        <v>37</v>
      </c>
      <c r="D44" s="178">
        <f>'Consumo Valorizado'!D27</f>
        <v>0</v>
      </c>
      <c r="E44" s="178">
        <f>'Consumo Valorizado'!E27</f>
        <v>0</v>
      </c>
      <c r="F44" s="178">
        <f>'Consumo Valorizado'!F27</f>
        <v>0</v>
      </c>
      <c r="G44" s="178">
        <f>'Consumo Valorizado'!G27</f>
        <v>0</v>
      </c>
      <c r="H44" s="178">
        <f>'Consumo Valorizado'!H27</f>
        <v>0</v>
      </c>
      <c r="I44" s="178">
        <f>'Consumo Valorizado'!I27</f>
        <v>0</v>
      </c>
      <c r="J44" s="178">
        <f>'Consumo Valorizado'!J27</f>
        <v>0</v>
      </c>
      <c r="K44" s="178">
        <f>'Consumo Valorizado'!K27</f>
        <v>0</v>
      </c>
      <c r="L44" s="178">
        <f>'Consumo Valorizado'!L27</f>
        <v>0</v>
      </c>
    </row>
    <row r="45" spans="2:12">
      <c r="B45" s="331"/>
      <c r="C45" s="51" t="s">
        <v>38</v>
      </c>
      <c r="D45" s="178">
        <f>'Consumo Valorizado'!D28</f>
        <v>4417009.7222222211</v>
      </c>
      <c r="E45" s="178">
        <f>'Consumo Valorizado'!E28</f>
        <v>4461632.1166666653</v>
      </c>
      <c r="F45" s="178">
        <f>'Consumo Valorizado'!F28</f>
        <v>4505636.6183888894</v>
      </c>
      <c r="G45" s="178">
        <f>'Consumo Valorizado'!G28</f>
        <v>4550692.9845727775</v>
      </c>
      <c r="H45" s="178">
        <f>'Consumo Valorizado'!H28</f>
        <v>4601063.2838483555</v>
      </c>
      <c r="I45" s="178">
        <f>'Consumo Valorizado'!I28</f>
        <v>4671342.4459450021</v>
      </c>
      <c r="J45" s="178">
        <f>'Consumo Valorizado'!J28</f>
        <v>4721450.1046702461</v>
      </c>
      <c r="K45" s="178">
        <f>'Consumo Valorizado'!K28</f>
        <v>4768340.5395162348</v>
      </c>
      <c r="L45" s="178">
        <f>'Consumo Valorizado'!L28</f>
        <v>4816023.944911398</v>
      </c>
    </row>
    <row r="46" spans="2:12">
      <c r="B46" s="331"/>
      <c r="C46" s="78" t="s">
        <v>225</v>
      </c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331"/>
      <c r="C47" s="51" t="s">
        <v>7</v>
      </c>
      <c r="D47" s="178">
        <f>MOD!D129</f>
        <v>3082309.6899999995</v>
      </c>
      <c r="E47" s="178">
        <f>MOD!E129</f>
        <v>3118650.7493999992</v>
      </c>
      <c r="F47" s="178">
        <f>MOD!F129</f>
        <v>3154671.1443939996</v>
      </c>
      <c r="G47" s="178">
        <f>MOD!G129</f>
        <v>3199254.1604493796</v>
      </c>
      <c r="H47" s="178">
        <f>MOD!H129</f>
        <v>3243582.9971820395</v>
      </c>
      <c r="I47" s="178">
        <f>MOD!I129</f>
        <v>3296847.2245341083</v>
      </c>
      <c r="J47" s="178">
        <f>MOD!J129</f>
        <v>3353556.131850278</v>
      </c>
      <c r="K47" s="178">
        <f>MOD!K129</f>
        <v>3392110.5648968928</v>
      </c>
      <c r="L47" s="178">
        <f>MOD!L129</f>
        <v>3427011.5265983948</v>
      </c>
    </row>
    <row r="48" spans="2:12">
      <c r="B48" s="331"/>
      <c r="C48" s="51" t="s">
        <v>46</v>
      </c>
      <c r="D48" s="178">
        <f>MOD!D130</f>
        <v>4506936.9222222213</v>
      </c>
      <c r="E48" s="178">
        <f>MOD!E130</f>
        <v>4554394.5886666654</v>
      </c>
      <c r="F48" s="178">
        <f>MOD!F130</f>
        <v>4601262.7151088892</v>
      </c>
      <c r="G48" s="178">
        <f>MOD!G130</f>
        <v>4652103.6032271776</v>
      </c>
      <c r="H48" s="178">
        <f>MOD!H130</f>
        <v>4706899.0617825706</v>
      </c>
      <c r="I48" s="178">
        <f>MOD!I130</f>
        <v>4780172.5816585608</v>
      </c>
      <c r="J48" s="178">
        <f>MOD!J130</f>
        <v>4839353.1444552112</v>
      </c>
      <c r="K48" s="178">
        <f>MOD!K130</f>
        <v>4889358.609699049</v>
      </c>
      <c r="L48" s="178">
        <f>MOD!L130</f>
        <v>4938615.105445127</v>
      </c>
    </row>
    <row r="49" spans="2:12" ht="15" customHeight="1">
      <c r="B49" s="331"/>
      <c r="C49" s="51" t="s">
        <v>22</v>
      </c>
      <c r="D49" s="178">
        <f>MOD!D131</f>
        <v>3749433.0577777773</v>
      </c>
      <c r="E49" s="178">
        <f>MOD!E131</f>
        <v>3791935.626133332</v>
      </c>
      <c r="F49" s="178">
        <f>MOD!F131</f>
        <v>3834011.9268391114</v>
      </c>
      <c r="G49" s="178">
        <f>MOD!G131</f>
        <v>3883939.8724287818</v>
      </c>
      <c r="H49" s="178">
        <f>MOD!H131</f>
        <v>3934856.4941208023</v>
      </c>
      <c r="I49" s="178">
        <f>MOD!I131</f>
        <v>3998266.2824685415</v>
      </c>
      <c r="J49" s="178">
        <f>MOD!J131</f>
        <v>4060127.3792201122</v>
      </c>
      <c r="K49" s="178">
        <f>MOD!K131</f>
        <v>4105115.8000517422</v>
      </c>
      <c r="L49" s="178">
        <f>MOD!L131</f>
        <v>4147037.9412100669</v>
      </c>
    </row>
    <row r="50" spans="2:12" ht="18">
      <c r="B50" s="332"/>
      <c r="C50" s="106" t="s">
        <v>226</v>
      </c>
      <c r="D50" s="179">
        <f t="shared" ref="D50:L50" si="4">SUM(D47:D49)+SUM(D36:D45)</f>
        <v>47985882.248988464</v>
      </c>
      <c r="E50" s="179">
        <f t="shared" si="4"/>
        <v>48836123.385961466</v>
      </c>
      <c r="F50" s="179">
        <f t="shared" si="4"/>
        <v>49510461.111151055</v>
      </c>
      <c r="G50" s="179">
        <f t="shared" si="4"/>
        <v>50360929.654862583</v>
      </c>
      <c r="H50" s="179">
        <f t="shared" si="4"/>
        <v>51313998.080198422</v>
      </c>
      <c r="I50" s="179">
        <f t="shared" si="4"/>
        <v>52625786.946592733</v>
      </c>
      <c r="J50" s="179">
        <f t="shared" si="4"/>
        <v>53613770.772040896</v>
      </c>
      <c r="K50" s="179">
        <f t="shared" si="4"/>
        <v>54529116.404317603</v>
      </c>
      <c r="L50" s="179">
        <f t="shared" si="4"/>
        <v>55454148.677540481</v>
      </c>
    </row>
    <row r="51" spans="2:12">
      <c r="B51" s="327" t="s">
        <v>227</v>
      </c>
      <c r="C51" s="147" t="s">
        <v>229</v>
      </c>
      <c r="D51" s="178">
        <f>'Costos Indirectos'!D42</f>
        <v>0</v>
      </c>
      <c r="E51" s="178">
        <f>'Costos Indirectos'!E42</f>
        <v>0</v>
      </c>
      <c r="F51" s="178">
        <f>'Costos Indirectos'!F42</f>
        <v>0</v>
      </c>
      <c r="G51" s="178">
        <f>'Costos Indirectos'!G42</f>
        <v>0</v>
      </c>
      <c r="H51" s="178">
        <f>'Costos Indirectos'!H42</f>
        <v>0</v>
      </c>
      <c r="I51" s="178">
        <f>'Costos Indirectos'!I42</f>
        <v>0</v>
      </c>
      <c r="J51" s="178">
        <f>'Costos Indirectos'!J42</f>
        <v>0</v>
      </c>
      <c r="K51" s="178">
        <f>'Costos Indirectos'!K42</f>
        <v>0</v>
      </c>
      <c r="L51" s="178">
        <f>'Costos Indirectos'!L42</f>
        <v>0</v>
      </c>
    </row>
    <row r="52" spans="2:12" ht="30">
      <c r="B52" s="328"/>
      <c r="C52" s="147" t="s">
        <v>338</v>
      </c>
      <c r="D52" s="178">
        <f>'Costos Indirectos'!D43</f>
        <v>32888.673408196613</v>
      </c>
      <c r="E52" s="178">
        <f>'Costos Indirectos'!E43</f>
        <v>33273.020173516859</v>
      </c>
      <c r="F52" s="178">
        <f>'Costos Indirectos'!F43</f>
        <v>33746.813637015977</v>
      </c>
      <c r="G52" s="178">
        <f>'Costos Indirectos'!G43</f>
        <v>34215.140234295744</v>
      </c>
      <c r="H52" s="178">
        <f>'Costos Indirectos'!H43</f>
        <v>34769.059309208322</v>
      </c>
      <c r="I52" s="178">
        <f>'Costos Indirectos'!I43</f>
        <v>35488.626358965717</v>
      </c>
      <c r="J52" s="178">
        <f>'Costos Indirectos'!J43</f>
        <v>36182.449560333487</v>
      </c>
      <c r="K52" s="178">
        <f>'Costos Indirectos'!K43</f>
        <v>36852.658492389055</v>
      </c>
      <c r="L52" s="178">
        <f>'Costos Indirectos'!L43</f>
        <v>37656.262002831347</v>
      </c>
    </row>
    <row r="53" spans="2:12" ht="30">
      <c r="B53" s="328"/>
      <c r="C53" s="147" t="s">
        <v>339</v>
      </c>
      <c r="D53" s="178">
        <f>'Costos Indirectos'!D44</f>
        <v>471547.67378570279</v>
      </c>
      <c r="E53" s="178">
        <f>'Costos Indirectos'!E44</f>
        <v>471401.50136047148</v>
      </c>
      <c r="F53" s="178">
        <f>'Costos Indirectos'!F44</f>
        <v>471978.33713906893</v>
      </c>
      <c r="G53" s="178">
        <f>'Costos Indirectos'!G44</f>
        <v>434440.88067714707</v>
      </c>
      <c r="H53" s="178">
        <f>'Costos Indirectos'!H44</f>
        <v>434521.82403734181</v>
      </c>
      <c r="I53" s="178">
        <f>'Costos Indirectos'!I44</f>
        <v>431622.90849489492</v>
      </c>
      <c r="J53" s="178">
        <f>'Costos Indirectos'!J44</f>
        <v>330727.47042078635</v>
      </c>
      <c r="K53" s="178">
        <f>'Costos Indirectos'!K44</f>
        <v>330248.57678868109</v>
      </c>
      <c r="L53" s="178">
        <f>'Costos Indirectos'!L44</f>
        <v>330185.83896616369</v>
      </c>
    </row>
    <row r="54" spans="2:12">
      <c r="B54" s="328"/>
      <c r="C54" s="147" t="s">
        <v>228</v>
      </c>
      <c r="D54" s="178">
        <f>'Costos Indirectos'!D45</f>
        <v>6328927.0786714116</v>
      </c>
      <c r="E54" s="178">
        <f>'Costos Indirectos'!E45</f>
        <v>6390234.8620744599</v>
      </c>
      <c r="F54" s="178">
        <f>'Costos Indirectos'!F45</f>
        <v>6462034.8886880856</v>
      </c>
      <c r="G54" s="178">
        <f>'Costos Indirectos'!G45</f>
        <v>6583987.2190167177</v>
      </c>
      <c r="H54" s="178">
        <f>'Costos Indirectos'!H45</f>
        <v>6683992.1311211055</v>
      </c>
      <c r="I54" s="178">
        <f>'Costos Indirectos'!I45</f>
        <v>6768707.9277865048</v>
      </c>
      <c r="J54" s="178">
        <f>'Costos Indirectos'!J45</f>
        <v>6975536.1050642915</v>
      </c>
      <c r="K54" s="178">
        <f>'Costos Indirectos'!K45</f>
        <v>7035089.8786412496</v>
      </c>
      <c r="L54" s="178">
        <f>'Costos Indirectos'!L45</f>
        <v>7068922.1790173883</v>
      </c>
    </row>
    <row r="55" spans="2:12" ht="36">
      <c r="B55" s="329"/>
      <c r="C55" s="106" t="s">
        <v>230</v>
      </c>
      <c r="D55" s="179">
        <f t="shared" ref="D55:L55" si="5">SUM(D51:D54)</f>
        <v>6833363.4258653112</v>
      </c>
      <c r="E55" s="179">
        <f t="shared" si="5"/>
        <v>6894909.3836084483</v>
      </c>
      <c r="F55" s="179">
        <f t="shared" si="5"/>
        <v>6967760.0394641701</v>
      </c>
      <c r="G55" s="179">
        <f t="shared" si="5"/>
        <v>7052643.2399281608</v>
      </c>
      <c r="H55" s="179">
        <f t="shared" si="5"/>
        <v>7153283.0144676557</v>
      </c>
      <c r="I55" s="179">
        <f t="shared" si="5"/>
        <v>7235819.4626403656</v>
      </c>
      <c r="J55" s="179">
        <f t="shared" si="5"/>
        <v>7342446.0250454117</v>
      </c>
      <c r="K55" s="179">
        <f t="shared" si="5"/>
        <v>7402191.1139223194</v>
      </c>
      <c r="L55" s="179">
        <f t="shared" si="5"/>
        <v>7436764.2799863834</v>
      </c>
    </row>
    <row r="56" spans="2:12" ht="16" thickBot="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 ht="36">
      <c r="B57" s="99"/>
      <c r="C57" s="106" t="s">
        <v>231</v>
      </c>
      <c r="D57" s="180">
        <f t="shared" ref="D57:L57" si="6">D50+D55</f>
        <v>54819245.674853772</v>
      </c>
      <c r="E57" s="180">
        <f t="shared" si="6"/>
        <v>55731032.769569911</v>
      </c>
      <c r="F57" s="180">
        <f t="shared" si="6"/>
        <v>56478221.150615223</v>
      </c>
      <c r="G57" s="180">
        <f t="shared" si="6"/>
        <v>57413572.894790746</v>
      </c>
      <c r="H57" s="180">
        <f t="shared" si="6"/>
        <v>58467281.094666079</v>
      </c>
      <c r="I57" s="180">
        <f t="shared" si="6"/>
        <v>59861606.409233101</v>
      </c>
      <c r="J57" s="180">
        <f t="shared" si="6"/>
        <v>60956216.797086306</v>
      </c>
      <c r="K57" s="180">
        <f t="shared" si="6"/>
        <v>61931307.518239923</v>
      </c>
      <c r="L57" s="180">
        <f t="shared" si="6"/>
        <v>62890912.957526863</v>
      </c>
    </row>
    <row r="58" spans="2:12" ht="31" thickBot="1">
      <c r="B58" s="99"/>
      <c r="C58" s="147" t="s">
        <v>232</v>
      </c>
      <c r="D58" s="181">
        <f>'Plan de producción'!D40</f>
        <v>631001.38888888876</v>
      </c>
      <c r="E58" s="181">
        <f>'Plan de producción'!E40</f>
        <v>637376.01666666649</v>
      </c>
      <c r="F58" s="181">
        <f>'Plan de producción'!F40</f>
        <v>643662.37405555556</v>
      </c>
      <c r="G58" s="181">
        <f>'Plan de producción'!G40</f>
        <v>650098.99779611104</v>
      </c>
      <c r="H58" s="181">
        <f>'Plan de producción'!H40</f>
        <v>657294.75483547931</v>
      </c>
      <c r="I58" s="181">
        <f>'Plan de producción'!I40</f>
        <v>667334.63513500034</v>
      </c>
      <c r="J58" s="181">
        <f>'Plan de producción'!J40</f>
        <v>674492.87209574948</v>
      </c>
      <c r="K58" s="181">
        <f>'Plan de producción'!K40</f>
        <v>681191.5056451764</v>
      </c>
      <c r="L58" s="181">
        <f>'Plan de producción'!L40</f>
        <v>688003.42070162832</v>
      </c>
    </row>
    <row r="59" spans="2:12" ht="16" thickBot="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 ht="16" thickBot="1">
      <c r="B60" s="99"/>
      <c r="C60" s="147" t="s">
        <v>233</v>
      </c>
      <c r="D60" s="182">
        <f>D57/D58</f>
        <v>86.876584806545864</v>
      </c>
      <c r="E60" s="182">
        <f t="shared" ref="E60:L60" si="7">E57/E58</f>
        <v>87.43823318145968</v>
      </c>
      <c r="F60" s="182">
        <f t="shared" si="7"/>
        <v>87.745102754352544</v>
      </c>
      <c r="G60" s="182">
        <f t="shared" si="7"/>
        <v>88.315122911168103</v>
      </c>
      <c r="H60" s="182">
        <f t="shared" si="7"/>
        <v>88.951388497387939</v>
      </c>
      <c r="I60" s="182">
        <f t="shared" si="7"/>
        <v>89.702531919571697</v>
      </c>
      <c r="J60" s="182">
        <f t="shared" si="7"/>
        <v>90.373403958571558</v>
      </c>
      <c r="K60" s="182">
        <f t="shared" si="7"/>
        <v>90.916147669197628</v>
      </c>
      <c r="L60" s="182">
        <f t="shared" si="7"/>
        <v>91.410756204366663</v>
      </c>
    </row>
    <row r="61" spans="2:12" ht="15" customHeight="1">
      <c r="B61" s="99"/>
      <c r="C61" s="184"/>
      <c r="D61" s="183"/>
      <c r="E61" s="183"/>
      <c r="F61" s="183"/>
      <c r="G61" s="183"/>
      <c r="H61" s="183"/>
      <c r="I61" s="183"/>
      <c r="J61" s="183"/>
      <c r="K61" s="183"/>
      <c r="L61" s="183"/>
    </row>
    <row r="63" spans="2:12" ht="18">
      <c r="B63" s="100"/>
      <c r="C63" s="106" t="str">
        <f>'Costos Indirectos'!B20</f>
        <v>Roscas con pisco</v>
      </c>
      <c r="D63" s="106">
        <v>2013</v>
      </c>
      <c r="E63" s="106">
        <v>2014</v>
      </c>
      <c r="F63" s="106">
        <v>2015</v>
      </c>
      <c r="G63" s="106">
        <v>2016</v>
      </c>
      <c r="H63" s="106">
        <v>2017</v>
      </c>
      <c r="I63" s="106">
        <v>2018</v>
      </c>
      <c r="J63" s="106">
        <v>2019</v>
      </c>
      <c r="K63" s="106">
        <v>2020</v>
      </c>
      <c r="L63" s="106">
        <v>2021</v>
      </c>
    </row>
    <row r="64" spans="2:12">
      <c r="B64" s="100"/>
      <c r="C64" s="78" t="s">
        <v>223</v>
      </c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330" t="s">
        <v>224</v>
      </c>
      <c r="C65" s="51" t="s">
        <v>32</v>
      </c>
      <c r="D65" s="178">
        <f>'Consumo Valorizado'!D33</f>
        <v>5199161.1288738577</v>
      </c>
      <c r="E65" s="178">
        <f>'Consumo Valorizado'!E33</f>
        <v>5316099.7547785649</v>
      </c>
      <c r="F65" s="178">
        <f>'Consumo Valorizado'!F33</f>
        <v>5415097.3871037383</v>
      </c>
      <c r="G65" s="178">
        <f>'Consumo Valorizado'!G33</f>
        <v>5541345.9817975303</v>
      </c>
      <c r="H65" s="178">
        <f>'Consumo Valorizado'!H33</f>
        <v>5668499.0664947629</v>
      </c>
      <c r="I65" s="178">
        <f>'Consumo Valorizado'!I33</f>
        <v>5808674.6513443086</v>
      </c>
      <c r="J65" s="178">
        <f>'Consumo Valorizado'!J33</f>
        <v>5927478.6552958349</v>
      </c>
      <c r="K65" s="178">
        <f>'Consumo Valorizado'!K33</f>
        <v>6059416.7228990728</v>
      </c>
      <c r="L65" s="178">
        <f>'Consumo Valorizado'!L33</f>
        <v>6187001.8313931925</v>
      </c>
    </row>
    <row r="66" spans="2:12">
      <c r="B66" s="331"/>
      <c r="C66" s="51" t="s">
        <v>33</v>
      </c>
      <c r="D66" s="178">
        <f>'Consumo Valorizado'!D34</f>
        <v>5097224.887249181</v>
      </c>
      <c r="E66" s="178">
        <f>'Consumo Valorizado'!E34</f>
        <v>5211862.8657451859</v>
      </c>
      <c r="F66" s="178">
        <f>'Consumo Valorizado'!F34</f>
        <v>5308918.036596193</v>
      </c>
      <c r="G66" s="178">
        <f>'Consumo Valorizado'!G34</f>
        <v>5432691.6523755519</v>
      </c>
      <c r="H66" s="178">
        <f>'Consumo Valorizado'!H34</f>
        <v>5557351.5412212806</v>
      </c>
      <c r="I66" s="178">
        <f>'Consumo Valorizado'!I34</f>
        <v>5694779.0629685773</v>
      </c>
      <c r="J66" s="178">
        <f>'Consumo Valorizado'!J34</f>
        <v>5811253.4523075549</v>
      </c>
      <c r="K66" s="178">
        <f>'Consumo Valorizado'!K34</f>
        <v>5940604.8850835105</v>
      </c>
      <c r="L66" s="178">
        <f>'Consumo Valorizado'!L34</f>
        <v>6065687.8830472035</v>
      </c>
    </row>
    <row r="67" spans="2:12">
      <c r="B67" s="331"/>
      <c r="C67" s="51" t="s">
        <v>34</v>
      </c>
      <c r="D67" s="178">
        <f>'Consumo Valorizado'!D35</f>
        <v>254985.56423532398</v>
      </c>
      <c r="E67" s="178">
        <f>'Consumo Valorizado'!E35</f>
        <v>260746.25951695035</v>
      </c>
      <c r="F67" s="178">
        <f>'Consumo Valorizado'!F35</f>
        <v>265527.08654552774</v>
      </c>
      <c r="G67" s="178">
        <f>'Consumo Valorizado'!G35</f>
        <v>271775.59958376287</v>
      </c>
      <c r="H67" s="178">
        <f>'Consumo Valorizado'!H35</f>
        <v>278031.48392533447</v>
      </c>
      <c r="I67" s="178">
        <f>'Consumo Valorizado'!I35</f>
        <v>284963.18766666867</v>
      </c>
      <c r="J67" s="178">
        <f>'Consumo Valorizado'!J35</f>
        <v>290727.8664724328</v>
      </c>
      <c r="K67" s="178">
        <f>'Consumo Valorizado'!K35</f>
        <v>297192.15785002854</v>
      </c>
      <c r="L67" s="178">
        <f>'Consumo Valorizado'!L35</f>
        <v>303449.35759030003</v>
      </c>
    </row>
    <row r="68" spans="2:12">
      <c r="B68" s="331"/>
      <c r="C68" s="51" t="s">
        <v>35</v>
      </c>
      <c r="D68" s="178">
        <f>'Consumo Valorizado'!D36</f>
        <v>2038894.9984949627</v>
      </c>
      <c r="E68" s="178">
        <f>'Consumo Valorizado'!E36</f>
        <v>2084745.5924739698</v>
      </c>
      <c r="F68" s="178">
        <f>'Consumo Valorizado'!F36</f>
        <v>2123567.4800375705</v>
      </c>
      <c r="G68" s="178">
        <f>'Consumo Valorizado'!G36</f>
        <v>2173076.7689277059</v>
      </c>
      <c r="H68" s="178">
        <f>'Consumo Valorizado'!H36</f>
        <v>2222940.7277793405</v>
      </c>
      <c r="I68" s="178">
        <f>'Consumo Valorizado'!I36</f>
        <v>2277911.650316962</v>
      </c>
      <c r="J68" s="178">
        <f>'Consumo Valorizado'!J36</f>
        <v>2324501.4160883254</v>
      </c>
      <c r="K68" s="178">
        <f>'Consumo Valorizado'!K36</f>
        <v>2376241.8872475987</v>
      </c>
      <c r="L68" s="178">
        <f>'Consumo Valorizado'!L36</f>
        <v>2426275.1938471217</v>
      </c>
    </row>
    <row r="69" spans="2:12">
      <c r="B69" s="331"/>
      <c r="C69" s="51" t="s">
        <v>36</v>
      </c>
      <c r="D69" s="178">
        <f>'Consumo Valorizado'!D37</f>
        <v>0</v>
      </c>
      <c r="E69" s="178">
        <f>'Consumo Valorizado'!E37</f>
        <v>0</v>
      </c>
      <c r="F69" s="178">
        <f>'Consumo Valorizado'!F37</f>
        <v>0</v>
      </c>
      <c r="G69" s="178">
        <f>'Consumo Valorizado'!G37</f>
        <v>0</v>
      </c>
      <c r="H69" s="178">
        <f>'Consumo Valorizado'!H37</f>
        <v>0</v>
      </c>
      <c r="I69" s="178">
        <f>'Consumo Valorizado'!I37</f>
        <v>0</v>
      </c>
      <c r="J69" s="178">
        <f>'Consumo Valorizado'!J37</f>
        <v>0</v>
      </c>
      <c r="K69" s="178">
        <f>'Consumo Valorizado'!K37</f>
        <v>0</v>
      </c>
      <c r="L69" s="178">
        <f>'Consumo Valorizado'!L37</f>
        <v>0</v>
      </c>
    </row>
    <row r="70" spans="2:12">
      <c r="B70" s="331"/>
      <c r="C70" s="51" t="s">
        <v>39</v>
      </c>
      <c r="D70" s="178">
        <f>'Consumo Valorizado'!D38</f>
        <v>10194489.316647355</v>
      </c>
      <c r="E70" s="178">
        <f>'Consumo Valorizado'!E38</f>
        <v>10423732.047068436</v>
      </c>
      <c r="F70" s="178">
        <f>'Consumo Valorizado'!F38</f>
        <v>10617851.036126854</v>
      </c>
      <c r="G70" s="178">
        <f>'Consumo Valorizado'!G38</f>
        <v>10865388.967926571</v>
      </c>
      <c r="H70" s="178">
        <f>'Consumo Valorizado'!H38</f>
        <v>11114709.904349536</v>
      </c>
      <c r="I70" s="178">
        <f>'Consumo Valorizado'!I38</f>
        <v>11389562.645874629</v>
      </c>
      <c r="J70" s="178">
        <f>'Consumo Valorizado'!J38</f>
        <v>11622509.705668492</v>
      </c>
      <c r="K70" s="178">
        <f>'Consumo Valorizado'!K38</f>
        <v>11881204.603678657</v>
      </c>
      <c r="L70" s="178">
        <f>'Consumo Valorizado'!L38</f>
        <v>12131377.981046325</v>
      </c>
    </row>
    <row r="71" spans="2:12">
      <c r="B71" s="331"/>
      <c r="C71" s="51" t="s">
        <v>42</v>
      </c>
      <c r="D71" s="178">
        <f>'Consumo Valorizado'!D39</f>
        <v>993962.94439667941</v>
      </c>
      <c r="E71" s="178">
        <f>'Consumo Valorizado'!E39</f>
        <v>1016313.5697336078</v>
      </c>
      <c r="F71" s="178">
        <f>'Consumo Valorizado'!F39</f>
        <v>1035239.3437282576</v>
      </c>
      <c r="G71" s="178">
        <f>'Consumo Valorizado'!G39</f>
        <v>1059374.795978623</v>
      </c>
      <c r="H71" s="178">
        <f>'Consumo Valorizado'!H39</f>
        <v>1083683.6657236188</v>
      </c>
      <c r="I71" s="178">
        <f>'Consumo Valorizado'!I39</f>
        <v>1110482.6046496108</v>
      </c>
      <c r="J71" s="178">
        <f>'Consumo Valorizado'!J39</f>
        <v>1133194.6025213795</v>
      </c>
      <c r="K71" s="178">
        <f>'Consumo Valorizado'!K39</f>
        <v>1158417.6465857502</v>
      </c>
      <c r="L71" s="178">
        <f>'Consumo Valorizado'!L39</f>
        <v>1182809.1174295126</v>
      </c>
    </row>
    <row r="72" spans="2:12">
      <c r="B72" s="331"/>
      <c r="C72" s="51" t="s">
        <v>43</v>
      </c>
      <c r="D72" s="178">
        <f>'Consumo Valorizado'!D40</f>
        <v>0</v>
      </c>
      <c r="E72" s="178">
        <f>'Consumo Valorizado'!E40</f>
        <v>0</v>
      </c>
      <c r="F72" s="178">
        <f>'Consumo Valorizado'!F40</f>
        <v>0</v>
      </c>
      <c r="G72" s="178">
        <f>'Consumo Valorizado'!G40</f>
        <v>0</v>
      </c>
      <c r="H72" s="178">
        <f>'Consumo Valorizado'!H40</f>
        <v>0</v>
      </c>
      <c r="I72" s="178">
        <f>'Consumo Valorizado'!I40</f>
        <v>0</v>
      </c>
      <c r="J72" s="178">
        <f>'Consumo Valorizado'!J40</f>
        <v>0</v>
      </c>
      <c r="K72" s="178">
        <f>'Consumo Valorizado'!K40</f>
        <v>0</v>
      </c>
      <c r="L72" s="178">
        <f>'Consumo Valorizado'!L40</f>
        <v>0</v>
      </c>
    </row>
    <row r="73" spans="2:12">
      <c r="B73" s="331"/>
      <c r="C73" s="51" t="s">
        <v>37</v>
      </c>
      <c r="D73" s="178">
        <f>'Consumo Valorizado'!D41</f>
        <v>2548684.4017094015</v>
      </c>
      <c r="E73" s="178">
        <f>'Consumo Valorizado'!E41</f>
        <v>2421003.5257339743</v>
      </c>
      <c r="F73" s="178">
        <f>'Consumo Valorizado'!F41</f>
        <v>2465316.1699028192</v>
      </c>
      <c r="G73" s="178">
        <f>'Consumo Valorizado'!G41</f>
        <v>2523528.6925121411</v>
      </c>
      <c r="H73" s="178">
        <f>'Consumo Valorizado'!H41</f>
        <v>2581208.2180081988</v>
      </c>
      <c r="I73" s="178">
        <f>'Consumo Valorizado'!I41</f>
        <v>2645241.1681555156</v>
      </c>
      <c r="J73" s="178">
        <f>'Consumo Valorizado'!J41</f>
        <v>2698374.8586218669</v>
      </c>
      <c r="K73" s="178">
        <f>'Consumo Valorizado'!K41</f>
        <v>2758691.7871418553</v>
      </c>
      <c r="L73" s="178">
        <f>'Consumo Valorizado'!L41</f>
        <v>2816377.6889602453</v>
      </c>
    </row>
    <row r="74" spans="2:12">
      <c r="B74" s="331"/>
      <c r="C74" s="51" t="s">
        <v>38</v>
      </c>
      <c r="D74" s="178">
        <f>'Consumo Valorizado'!D42</f>
        <v>3030333.333333333</v>
      </c>
      <c r="E74" s="178">
        <f>'Consumo Valorizado'!E42</f>
        <v>3065181.666666667</v>
      </c>
      <c r="F74" s="178">
        <f>'Consumo Valorizado'!F42</f>
        <v>3105365.6949999994</v>
      </c>
      <c r="G74" s="178">
        <f>'Consumo Valorizado'!G42</f>
        <v>3147373.2243824992</v>
      </c>
      <c r="H74" s="178">
        <f>'Consumo Valorizado'!H42</f>
        <v>3184883.1069675903</v>
      </c>
      <c r="I74" s="178">
        <f>'Consumo Valorizado'!I42</f>
        <v>3216382.4884973289</v>
      </c>
      <c r="J74" s="178">
        <f>'Consumo Valorizado'!J42</f>
        <v>3248546.3133823043</v>
      </c>
      <c r="K74" s="178">
        <f>'Consumo Valorizado'!K42</f>
        <v>3287886.0485066506</v>
      </c>
      <c r="L74" s="178">
        <f>'Consumo Valorizado'!L42</f>
        <v>3323872.419461525</v>
      </c>
    </row>
    <row r="75" spans="2:12">
      <c r="B75" s="331"/>
      <c r="C75" s="78" t="s">
        <v>225</v>
      </c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 ht="15" customHeight="1">
      <c r="B76" s="331"/>
      <c r="C76" s="51" t="s">
        <v>7</v>
      </c>
      <c r="D76" s="178">
        <f>MOD!D136</f>
        <v>2515553.4399999995</v>
      </c>
      <c r="E76" s="178">
        <f>MOD!E136</f>
        <v>2549344.9243999999</v>
      </c>
      <c r="F76" s="178">
        <f>MOD!F136</f>
        <v>2587214.7323939996</v>
      </c>
      <c r="G76" s="178">
        <f>MOD!G136</f>
        <v>2634338.5886537544</v>
      </c>
      <c r="H76" s="178">
        <f>MOD!H136</f>
        <v>2674418.9306480754</v>
      </c>
      <c r="I76" s="178">
        <f>MOD!I136</f>
        <v>2706128.2327996036</v>
      </c>
      <c r="J76" s="178">
        <f>MOD!J136</f>
        <v>2754747.9424561332</v>
      </c>
      <c r="K76" s="178">
        <f>MOD!K136</f>
        <v>2792663.3258735873</v>
      </c>
      <c r="L76" s="178">
        <f>MOD!L136</f>
        <v>2823900.4480372109</v>
      </c>
    </row>
    <row r="77" spans="2:12">
      <c r="B77" s="331"/>
      <c r="C77" s="51" t="s">
        <v>46</v>
      </c>
      <c r="D77" s="178">
        <f>MOD!D137</f>
        <v>3625316.0888888882</v>
      </c>
      <c r="E77" s="178">
        <f>MOD!E137</f>
        <v>3668807.7497777776</v>
      </c>
      <c r="F77" s="178">
        <f>MOD!F137</f>
        <v>3718552.7408866659</v>
      </c>
      <c r="G77" s="178">
        <f>MOD!G137</f>
        <v>3773346.0471006492</v>
      </c>
      <c r="H77" s="178">
        <f>MOD!H137</f>
        <v>3821532.7360630715</v>
      </c>
      <c r="I77" s="178">
        <f>MOD!I137</f>
        <v>3861276.3722937754</v>
      </c>
      <c r="J77" s="178">
        <f>MOD!J137</f>
        <v>3907873.7387309861</v>
      </c>
      <c r="K77" s="178">
        <f>MOD!K137</f>
        <v>3956885.1267739069</v>
      </c>
      <c r="L77" s="178">
        <f>MOD!L137</f>
        <v>4000442.3165721744</v>
      </c>
    </row>
    <row r="78" spans="2:12">
      <c r="B78" s="331"/>
      <c r="C78" s="51" t="s">
        <v>22</v>
      </c>
      <c r="D78" s="178">
        <f>MOD!D138</f>
        <v>2236047.5022222223</v>
      </c>
      <c r="E78" s="178">
        <f>MOD!E138</f>
        <v>2266084.3772444446</v>
      </c>
      <c r="F78" s="178">
        <f>MOD!F138</f>
        <v>2299746.4287946662</v>
      </c>
      <c r="G78" s="178">
        <f>MOD!G138</f>
        <v>2341634.3010255597</v>
      </c>
      <c r="H78" s="178">
        <f>MOD!H138</f>
        <v>2377261.2716871784</v>
      </c>
      <c r="I78" s="178">
        <f>MOD!I138</f>
        <v>2405447.3180440925</v>
      </c>
      <c r="J78" s="178">
        <f>MOD!J138</f>
        <v>2448664.837738785</v>
      </c>
      <c r="K78" s="178">
        <f>MOD!K138</f>
        <v>2482367.4007765222</v>
      </c>
      <c r="L78" s="178">
        <f>MOD!L138</f>
        <v>2510133.7315886319</v>
      </c>
    </row>
    <row r="79" spans="2:12" ht="18">
      <c r="B79" s="332"/>
      <c r="C79" s="106" t="s">
        <v>226</v>
      </c>
      <c r="D79" s="179">
        <f t="shared" ref="D79:L79" si="8">SUM(D76:D78)+SUM(D65:D74)</f>
        <v>37734653.606051199</v>
      </c>
      <c r="E79" s="179">
        <f t="shared" si="8"/>
        <v>38283922.333139576</v>
      </c>
      <c r="F79" s="179">
        <f t="shared" si="8"/>
        <v>38942396.137116291</v>
      </c>
      <c r="G79" s="179">
        <f t="shared" si="8"/>
        <v>39763874.620264351</v>
      </c>
      <c r="H79" s="179">
        <f t="shared" si="8"/>
        <v>40564520.652867988</v>
      </c>
      <c r="I79" s="179">
        <f t="shared" si="8"/>
        <v>41400849.382611066</v>
      </c>
      <c r="J79" s="179">
        <f t="shared" si="8"/>
        <v>42167873.389284089</v>
      </c>
      <c r="K79" s="179">
        <f t="shared" si="8"/>
        <v>42991571.592417136</v>
      </c>
      <c r="L79" s="179">
        <f t="shared" si="8"/>
        <v>43771327.968973443</v>
      </c>
    </row>
    <row r="80" spans="2:12">
      <c r="B80" s="327" t="s">
        <v>227</v>
      </c>
      <c r="C80" s="147" t="s">
        <v>229</v>
      </c>
      <c r="D80" s="178">
        <f>'Costos Indirectos'!D50</f>
        <v>0</v>
      </c>
      <c r="E80" s="178">
        <f>'Costos Indirectos'!E50</f>
        <v>0</v>
      </c>
      <c r="F80" s="178">
        <f>'Costos Indirectos'!F50</f>
        <v>0</v>
      </c>
      <c r="G80" s="178">
        <f>'Costos Indirectos'!G50</f>
        <v>0</v>
      </c>
      <c r="H80" s="178">
        <f>'Costos Indirectos'!H50</f>
        <v>0</v>
      </c>
      <c r="I80" s="178">
        <f>'Costos Indirectos'!I50</f>
        <v>0</v>
      </c>
      <c r="J80" s="178">
        <f>'Costos Indirectos'!J50</f>
        <v>0</v>
      </c>
      <c r="K80" s="178">
        <f>'Costos Indirectos'!K50</f>
        <v>0</v>
      </c>
      <c r="L80" s="178">
        <f>'Costos Indirectos'!L50</f>
        <v>0</v>
      </c>
    </row>
    <row r="81" spans="2:12" ht="30">
      <c r="B81" s="328"/>
      <c r="C81" s="147" t="s">
        <v>338</v>
      </c>
      <c r="D81" s="178">
        <f>'Costos Indirectos'!D51</f>
        <v>26324.200726263192</v>
      </c>
      <c r="E81" s="178">
        <f>'Costos Indirectos'!E51</f>
        <v>26668.677192014959</v>
      </c>
      <c r="F81" s="178">
        <f>'Costos Indirectos'!F51</f>
        <v>27135.395203040207</v>
      </c>
      <c r="G81" s="178">
        <f>'Costos Indirectos'!G51</f>
        <v>27608.055749197512</v>
      </c>
      <c r="H81" s="178">
        <f>'Costos Indirectos'!H51</f>
        <v>28078.572265185365</v>
      </c>
      <c r="I81" s="178">
        <f>'Costos Indirectos'!I51</f>
        <v>28507.685737683609</v>
      </c>
      <c r="J81" s="178">
        <f>'Costos Indirectos'!J51</f>
        <v>29044.132757881525</v>
      </c>
      <c r="K81" s="178">
        <f>'Costos Indirectos'!K51</f>
        <v>29645.931847203763</v>
      </c>
      <c r="L81" s="178">
        <f>'Costos Indirectos'!L51</f>
        <v>30320.73361970226</v>
      </c>
    </row>
    <row r="82" spans="2:12" ht="30">
      <c r="B82" s="328"/>
      <c r="C82" s="147" t="s">
        <v>339</v>
      </c>
      <c r="D82" s="178">
        <f>'Costos Indirectos'!D52</f>
        <v>377428.28549733118</v>
      </c>
      <c r="E82" s="178">
        <f>'Costos Indirectos'!E52</f>
        <v>377833.28360494989</v>
      </c>
      <c r="F82" s="178">
        <f>'Costos Indirectos'!F52</f>
        <v>379511.93980264786</v>
      </c>
      <c r="G82" s="178">
        <f>'Costos Indirectos'!G52</f>
        <v>350548.55749042984</v>
      </c>
      <c r="H82" s="178">
        <f>'Costos Indirectos'!H52</f>
        <v>350908.32709993346</v>
      </c>
      <c r="I82" s="178">
        <f>'Costos Indirectos'!I52</f>
        <v>346718.69539545738</v>
      </c>
      <c r="J82" s="178">
        <f>'Costos Indirectos'!J52</f>
        <v>265479.33250241564</v>
      </c>
      <c r="K82" s="178">
        <f>'Costos Indirectos'!K52</f>
        <v>265666.77142533025</v>
      </c>
      <c r="L82" s="178">
        <f>'Costos Indirectos'!L52</f>
        <v>265864.8611361956</v>
      </c>
    </row>
    <row r="83" spans="2:12">
      <c r="B83" s="328"/>
      <c r="C83" s="147" t="s">
        <v>228</v>
      </c>
      <c r="D83" s="178">
        <f>'Costos Indirectos'!D53</f>
        <v>5065693.7339195693</v>
      </c>
      <c r="E83" s="178">
        <f>'Costos Indirectos'!E53</f>
        <v>5121840.7535323892</v>
      </c>
      <c r="F83" s="178">
        <f>'Costos Indirectos'!F53</f>
        <v>5196042.2813977478</v>
      </c>
      <c r="G83" s="178">
        <f>'Costos Indirectos'!G53</f>
        <v>5312592.1726434464</v>
      </c>
      <c r="H83" s="178">
        <f>'Costos Indirectos'!H53</f>
        <v>5397815.1782757454</v>
      </c>
      <c r="I83" s="178">
        <f>'Costos Indirectos'!I53</f>
        <v>5437240.5543038594</v>
      </c>
      <c r="J83" s="178">
        <f>'Costos Indirectos'!J53</f>
        <v>5599355.4652803279</v>
      </c>
      <c r="K83" s="178">
        <f>'Costos Indirectos'!K53</f>
        <v>5659341.920318298</v>
      </c>
      <c r="L83" s="178">
        <f>'Costos Indirectos'!L53</f>
        <v>5691879.5166731048</v>
      </c>
    </row>
    <row r="84" spans="2:12" ht="36">
      <c r="B84" s="329"/>
      <c r="C84" s="106" t="s">
        <v>230</v>
      </c>
      <c r="D84" s="179">
        <f t="shared" ref="D84:L84" si="9">SUM(D80:D83)</f>
        <v>5469446.2201431636</v>
      </c>
      <c r="E84" s="179">
        <f t="shared" si="9"/>
        <v>5526342.7143293545</v>
      </c>
      <c r="F84" s="179">
        <f t="shared" si="9"/>
        <v>5602689.6164034363</v>
      </c>
      <c r="G84" s="179">
        <f t="shared" si="9"/>
        <v>5690748.7858830737</v>
      </c>
      <c r="H84" s="179">
        <f t="shared" si="9"/>
        <v>5776802.0776408641</v>
      </c>
      <c r="I84" s="179">
        <f t="shared" si="9"/>
        <v>5812466.9354370004</v>
      </c>
      <c r="J84" s="179">
        <f t="shared" si="9"/>
        <v>5893878.930540625</v>
      </c>
      <c r="K84" s="179">
        <f t="shared" si="9"/>
        <v>5954654.6235908316</v>
      </c>
      <c r="L84" s="179">
        <f t="shared" si="9"/>
        <v>5988065.1114290031</v>
      </c>
    </row>
    <row r="85" spans="2:12" ht="16" thickBot="1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 ht="36">
      <c r="B86" s="99"/>
      <c r="C86" s="106" t="s">
        <v>231</v>
      </c>
      <c r="D86" s="180">
        <f t="shared" ref="D86:L86" si="10">D79+D84</f>
        <v>43204099.826194361</v>
      </c>
      <c r="E86" s="180">
        <f t="shared" si="10"/>
        <v>43810265.04746893</v>
      </c>
      <c r="F86" s="180">
        <f t="shared" si="10"/>
        <v>44545085.753519729</v>
      </c>
      <c r="G86" s="180">
        <f t="shared" si="10"/>
        <v>45454623.406147428</v>
      </c>
      <c r="H86" s="180">
        <f t="shared" si="10"/>
        <v>46341322.730508849</v>
      </c>
      <c r="I86" s="180">
        <f t="shared" si="10"/>
        <v>47213316.318048067</v>
      </c>
      <c r="J86" s="180">
        <f t="shared" si="10"/>
        <v>48061752.31982471</v>
      </c>
      <c r="K86" s="180">
        <f t="shared" si="10"/>
        <v>48946226.21600797</v>
      </c>
      <c r="L86" s="180">
        <f t="shared" si="10"/>
        <v>49759393.080402449</v>
      </c>
    </row>
    <row r="87" spans="2:12" ht="31" thickBot="1">
      <c r="B87" s="99"/>
      <c r="C87" s="147" t="s">
        <v>232</v>
      </c>
      <c r="D87" s="181">
        <f>'Plan de producción'!D41</f>
        <v>505055.5555555555</v>
      </c>
      <c r="E87" s="181">
        <f>'Plan de producción'!E41</f>
        <v>510863.61111111112</v>
      </c>
      <c r="F87" s="181">
        <f>'Plan de producción'!F41</f>
        <v>517560.94916666654</v>
      </c>
      <c r="G87" s="181">
        <f>'Plan de producción'!G41</f>
        <v>524562.20406374987</v>
      </c>
      <c r="H87" s="181">
        <f>'Plan de producción'!H41</f>
        <v>530813.85116126505</v>
      </c>
      <c r="I87" s="181">
        <f>'Plan de producción'!I41</f>
        <v>536063.7480828882</v>
      </c>
      <c r="J87" s="181">
        <f>'Plan de producción'!J41</f>
        <v>541424.38556371734</v>
      </c>
      <c r="K87" s="181">
        <f>'Plan de producción'!K41</f>
        <v>547981.00808444177</v>
      </c>
      <c r="L87" s="181">
        <f>'Plan de producción'!L41</f>
        <v>553978.73657692084</v>
      </c>
    </row>
    <row r="88" spans="2:12" ht="16" thickBot="1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 ht="16" thickBot="1">
      <c r="B89" s="99"/>
      <c r="C89" s="147" t="s">
        <v>233</v>
      </c>
      <c r="D89" s="182">
        <f>D86/D87</f>
        <v>85.543262223242607</v>
      </c>
      <c r="E89" s="182">
        <f t="shared" ref="E89:L89" si="11">E86/E87</f>
        <v>85.757262984895476</v>
      </c>
      <c r="F89" s="182">
        <f t="shared" si="11"/>
        <v>86.067323713743292</v>
      </c>
      <c r="G89" s="182">
        <f t="shared" si="11"/>
        <v>86.652494316238119</v>
      </c>
      <c r="H89" s="182">
        <f t="shared" si="11"/>
        <v>87.30239919159537</v>
      </c>
      <c r="I89" s="182">
        <f t="shared" si="11"/>
        <v>88.074070456910974</v>
      </c>
      <c r="J89" s="182">
        <f t="shared" si="11"/>
        <v>88.769094265645293</v>
      </c>
      <c r="K89" s="182">
        <f t="shared" si="11"/>
        <v>89.321026630298007</v>
      </c>
      <c r="L89" s="182">
        <f t="shared" si="11"/>
        <v>89.821846570988882</v>
      </c>
    </row>
  </sheetData>
  <mergeCells count="6">
    <mergeCell ref="B80:B84"/>
    <mergeCell ref="B7:B21"/>
    <mergeCell ref="B22:B26"/>
    <mergeCell ref="B36:B50"/>
    <mergeCell ref="B51:B55"/>
    <mergeCell ref="B65:B7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1"/>
  <sheetViews>
    <sheetView topLeftCell="A120" workbookViewId="0">
      <selection activeCell="C125" sqref="C125"/>
    </sheetView>
  </sheetViews>
  <sheetFormatPr baseColWidth="10" defaultRowHeight="15" x14ac:dyDescent="0"/>
  <cols>
    <col min="2" max="3" width="26.6640625" customWidth="1"/>
    <col min="4" max="13" width="13" customWidth="1"/>
  </cols>
  <sheetData>
    <row r="2" spans="2:7" ht="20">
      <c r="B2" s="28" t="s">
        <v>516</v>
      </c>
      <c r="C2" s="31"/>
    </row>
    <row r="3" spans="2:7" ht="20">
      <c r="B3" s="28"/>
      <c r="C3" s="31"/>
    </row>
    <row r="4" spans="2:7" ht="18">
      <c r="B4" s="333" t="s">
        <v>295</v>
      </c>
      <c r="C4" s="333"/>
      <c r="D4" s="333"/>
    </row>
    <row r="6" spans="2:7" ht="72">
      <c r="B6" s="106" t="s">
        <v>2</v>
      </c>
      <c r="C6" s="106" t="s">
        <v>115</v>
      </c>
      <c r="D6" s="106" t="s">
        <v>116</v>
      </c>
      <c r="E6" s="106" t="s">
        <v>117</v>
      </c>
      <c r="F6" s="106" t="s">
        <v>118</v>
      </c>
      <c r="G6" s="106" t="s">
        <v>119</v>
      </c>
    </row>
    <row r="7" spans="2:7">
      <c r="B7" s="158" t="s">
        <v>120</v>
      </c>
      <c r="C7" s="159"/>
      <c r="D7" s="159"/>
      <c r="E7" s="159"/>
      <c r="F7" s="159"/>
      <c r="G7" s="159"/>
    </row>
    <row r="8" spans="2:7">
      <c r="B8" s="51" t="str">
        <f>+Parametros!$B$56</f>
        <v>Local Administrativo -Terreno</v>
      </c>
      <c r="C8" s="56">
        <f>+Parametros!C56</f>
        <v>2000</v>
      </c>
      <c r="D8" s="56">
        <f>+Parametros!D56</f>
        <v>3000</v>
      </c>
      <c r="E8" s="3">
        <f>+C8*D8</f>
        <v>6000000</v>
      </c>
      <c r="F8" s="56">
        <f>Parametros!I56</f>
        <v>0</v>
      </c>
      <c r="G8" s="3">
        <f>+Parametros!F35*'Activos fijos'!F8</f>
        <v>0</v>
      </c>
    </row>
    <row r="9" spans="2:7">
      <c r="B9" s="51" t="str">
        <f>+Parametros!$B$57</f>
        <v>Planta - Terreno</v>
      </c>
      <c r="C9" s="56">
        <f>+Parametros!C57</f>
        <v>4000</v>
      </c>
      <c r="D9" s="56">
        <f>+Parametros!D57</f>
        <v>3000</v>
      </c>
      <c r="E9" s="3">
        <f>+C9*D9</f>
        <v>12000000</v>
      </c>
      <c r="F9" s="56">
        <f>Parametros!I57</f>
        <v>0</v>
      </c>
      <c r="G9" s="3">
        <f>+Parametros!F36*'Activos fijos'!F9</f>
        <v>0</v>
      </c>
    </row>
    <row r="10" spans="2:7">
      <c r="B10" s="158" t="s">
        <v>121</v>
      </c>
      <c r="C10" s="159"/>
      <c r="D10" s="159"/>
      <c r="E10" s="159"/>
      <c r="F10" s="159"/>
      <c r="G10" s="159"/>
    </row>
    <row r="11" spans="2:7">
      <c r="B11" s="51" t="str">
        <f>+Parametros!$B$58</f>
        <v>Local Administrativo -Edificacion</v>
      </c>
      <c r="C11" s="56">
        <f>+Parametros!C58</f>
        <v>2500</v>
      </c>
      <c r="D11" s="56">
        <f>+Parametros!D58</f>
        <v>5000</v>
      </c>
      <c r="E11" s="3">
        <f>+C11*D11</f>
        <v>12500000</v>
      </c>
      <c r="F11" s="56">
        <f>Parametros!I58</f>
        <v>22727</v>
      </c>
      <c r="G11" s="3">
        <f>+Parametros!F58*'Activos fijos'!F11</f>
        <v>431813</v>
      </c>
    </row>
    <row r="12" spans="2:7">
      <c r="B12" s="51" t="str">
        <f>+Parametros!$B$59</f>
        <v>Planta - Edificacion</v>
      </c>
      <c r="C12" s="56">
        <f>+Parametros!C59</f>
        <v>4000</v>
      </c>
      <c r="D12" s="56">
        <f>+Parametros!D59</f>
        <v>4000</v>
      </c>
      <c r="E12" s="3">
        <f>+C12*D12</f>
        <v>16000000</v>
      </c>
      <c r="F12" s="56">
        <f>Parametros!I59</f>
        <v>60606</v>
      </c>
      <c r="G12" s="3">
        <f>+Parametros!F59*'Activos fijos'!F12</f>
        <v>1151514</v>
      </c>
    </row>
    <row r="13" spans="2:7">
      <c r="B13" s="158" t="s">
        <v>122</v>
      </c>
      <c r="C13" s="159"/>
      <c r="D13" s="159"/>
      <c r="E13" s="159"/>
      <c r="F13" s="159"/>
      <c r="G13" s="159"/>
    </row>
    <row r="14" spans="2:7">
      <c r="B14" s="51" t="str">
        <f>+Parametros!$B$41</f>
        <v>Horno Rotativo</v>
      </c>
      <c r="C14" s="56">
        <f>+Parametros!C41</f>
        <v>6</v>
      </c>
      <c r="D14" s="56">
        <f>+Parametros!D41</f>
        <v>832500</v>
      </c>
      <c r="E14" s="3">
        <f t="shared" ref="E14:E22" si="0">+C14*D14</f>
        <v>4995000</v>
      </c>
      <c r="F14" s="56">
        <f>Parametros!I41</f>
        <v>249750</v>
      </c>
      <c r="G14" s="3">
        <f>+Parametros!F41*'Activos fijos'!F14</f>
        <v>2497500</v>
      </c>
    </row>
    <row r="15" spans="2:7">
      <c r="B15" s="51" t="str">
        <f>+Parametros!$B$42</f>
        <v>Mezcladora de alta velocida</v>
      </c>
      <c r="C15" s="56">
        <f>+Parametros!C42</f>
        <v>10</v>
      </c>
      <c r="D15" s="56">
        <f>+Parametros!D42</f>
        <v>222000</v>
      </c>
      <c r="E15" s="3">
        <f t="shared" si="0"/>
        <v>2220000</v>
      </c>
      <c r="F15" s="56">
        <f>Parametros!I42</f>
        <v>222000</v>
      </c>
      <c r="G15" s="3">
        <f>+Parametros!F42*'Activos fijos'!F15</f>
        <v>1110000</v>
      </c>
    </row>
    <row r="16" spans="2:7">
      <c r="B16" s="51" t="str">
        <f>+Parametros!$B$43</f>
        <v>Laminadora</v>
      </c>
      <c r="C16" s="56">
        <f>+Parametros!C43</f>
        <v>6</v>
      </c>
      <c r="D16" s="56">
        <f>+Parametros!D43</f>
        <v>908350</v>
      </c>
      <c r="E16" s="3">
        <f t="shared" si="0"/>
        <v>5450100</v>
      </c>
      <c r="F16" s="56">
        <f>Parametros!I43</f>
        <v>272505</v>
      </c>
      <c r="G16" s="3">
        <f>+Parametros!F43*'Activos fijos'!F16</f>
        <v>2725050</v>
      </c>
    </row>
    <row r="17" spans="2:10">
      <c r="B17" s="51" t="str">
        <f>+Parametros!$B$44</f>
        <v>Cinta transportadora</v>
      </c>
      <c r="C17" s="56">
        <f>+Parametros!C44</f>
        <v>6</v>
      </c>
      <c r="D17" s="56">
        <f>+Parametros!D44</f>
        <v>21275</v>
      </c>
      <c r="E17" s="3">
        <f t="shared" si="0"/>
        <v>127650</v>
      </c>
      <c r="F17" s="56">
        <f>Parametros!I44</f>
        <v>12765</v>
      </c>
      <c r="G17" s="3">
        <f>+Parametros!F44*'Activos fijos'!F17</f>
        <v>63825</v>
      </c>
    </row>
    <row r="18" spans="2:10">
      <c r="B18" s="51" t="str">
        <f>+Parametros!$B$45</f>
        <v>Apilador de Galletas</v>
      </c>
      <c r="C18" s="56">
        <f>+Parametros!C45</f>
        <v>10</v>
      </c>
      <c r="D18" s="56">
        <f>+Parametros!D45</f>
        <v>64750</v>
      </c>
      <c r="E18" s="3">
        <f t="shared" si="0"/>
        <v>647500</v>
      </c>
      <c r="F18" s="56">
        <f>Parametros!I45</f>
        <v>64750</v>
      </c>
      <c r="G18" s="3">
        <f>+Parametros!F45*'Activos fijos'!F18</f>
        <v>323750</v>
      </c>
    </row>
    <row r="19" spans="2:10">
      <c r="B19" s="51" t="str">
        <f>+Parametros!$B$46</f>
        <v>Estuchadora de Caja</v>
      </c>
      <c r="C19" s="56">
        <f>+Parametros!C46</f>
        <v>6</v>
      </c>
      <c r="D19" s="56">
        <f>+Parametros!D46</f>
        <v>369075</v>
      </c>
      <c r="E19" s="3">
        <f t="shared" si="0"/>
        <v>2214450</v>
      </c>
      <c r="F19" s="56">
        <f>Parametros!I46</f>
        <v>110722.5</v>
      </c>
      <c r="G19" s="3">
        <f>+Parametros!F46*'Activos fijos'!F19</f>
        <v>1107225</v>
      </c>
    </row>
    <row r="20" spans="2:10">
      <c r="B20" s="51" t="str">
        <f>+Parametros!$B$47</f>
        <v>Estuchadora flow pack</v>
      </c>
      <c r="C20" s="56">
        <f>+Parametros!C47</f>
        <v>8</v>
      </c>
      <c r="D20" s="56">
        <f>+Parametros!D47</f>
        <v>502275</v>
      </c>
      <c r="E20" s="3">
        <f t="shared" si="0"/>
        <v>4018200</v>
      </c>
      <c r="F20" s="56">
        <f>Parametros!I47</f>
        <v>200910</v>
      </c>
      <c r="G20" s="3">
        <f>+Parametros!F47*'Activos fijos'!F20</f>
        <v>2009100</v>
      </c>
    </row>
    <row r="21" spans="2:10">
      <c r="B21" s="51" t="str">
        <f>+Parametros!$B$48</f>
        <v>Paletizadora</v>
      </c>
      <c r="C21" s="56">
        <f>+Parametros!C48</f>
        <v>4</v>
      </c>
      <c r="D21" s="56">
        <f>+Parametros!D48</f>
        <v>292762.5</v>
      </c>
      <c r="E21" s="3">
        <f t="shared" si="0"/>
        <v>1171050</v>
      </c>
      <c r="F21" s="56">
        <f>Parametros!I48</f>
        <v>58552.5</v>
      </c>
      <c r="G21" s="3">
        <f>+Parametros!F48*'Activos fijos'!F21</f>
        <v>585525</v>
      </c>
    </row>
    <row r="22" spans="2:10">
      <c r="B22" s="51" t="str">
        <f>+Parametros!$B$49</f>
        <v>Carretilladora elevadora</v>
      </c>
      <c r="C22" s="56">
        <f>+Parametros!C49</f>
        <v>8</v>
      </c>
      <c r="D22" s="56">
        <f>+Parametros!D49</f>
        <v>12000</v>
      </c>
      <c r="E22" s="3">
        <f t="shared" si="0"/>
        <v>96000</v>
      </c>
      <c r="F22" s="56">
        <f>Parametros!I49</f>
        <v>12000</v>
      </c>
      <c r="G22" s="3">
        <f>+Parametros!F49*'Activos fijos'!F22</f>
        <v>48000</v>
      </c>
    </row>
    <row r="23" spans="2:10">
      <c r="B23" s="158" t="s">
        <v>123</v>
      </c>
      <c r="C23" s="159"/>
      <c r="D23" s="159"/>
      <c r="E23" s="159"/>
      <c r="F23" s="159"/>
      <c r="G23" s="159"/>
    </row>
    <row r="24" spans="2:10">
      <c r="B24" s="51" t="str">
        <f>+Parametros!$B$64</f>
        <v>Impresora</v>
      </c>
      <c r="C24" s="56">
        <f>+Parametros!C64</f>
        <v>20</v>
      </c>
      <c r="D24" s="56">
        <f>+Parametros!D64</f>
        <v>2000</v>
      </c>
      <c r="E24" s="3">
        <f>+C24*D24</f>
        <v>40000</v>
      </c>
      <c r="F24" s="56">
        <f>Parametros!I64</f>
        <v>10000</v>
      </c>
      <c r="G24" s="3">
        <f>+Parametros!F64*'Activos fijos'!F24</f>
        <v>20000</v>
      </c>
    </row>
    <row r="25" spans="2:10">
      <c r="B25" s="51" t="str">
        <f>+Parametros!$B$65</f>
        <v>Equipos de computo</v>
      </c>
      <c r="C25" s="56">
        <f>+Parametros!C65</f>
        <v>20</v>
      </c>
      <c r="D25" s="56">
        <f>+Parametros!D65</f>
        <v>2000</v>
      </c>
      <c r="E25" s="3">
        <f>+C25*D25</f>
        <v>40000</v>
      </c>
      <c r="F25" s="56">
        <f>Parametros!I65</f>
        <v>2500</v>
      </c>
      <c r="G25" s="3">
        <f>+Parametros!F65*'Activos fijos'!F25</f>
        <v>5000</v>
      </c>
    </row>
    <row r="26" spans="2:10">
      <c r="B26" s="158" t="s">
        <v>124</v>
      </c>
      <c r="C26" s="159"/>
      <c r="D26" s="159"/>
      <c r="E26" s="159"/>
      <c r="F26" s="159"/>
      <c r="G26" s="159"/>
    </row>
    <row r="27" spans="2:10">
      <c r="B27" s="51" t="str">
        <f>+Parametros!$B$71</f>
        <v>Camioneta</v>
      </c>
      <c r="C27" s="56">
        <f>+Parametros!C71</f>
        <v>10</v>
      </c>
      <c r="D27" s="56">
        <f>+Parametros!D71</f>
        <v>50000</v>
      </c>
      <c r="E27" s="3">
        <f>+C27*D27</f>
        <v>500000</v>
      </c>
      <c r="F27" s="56">
        <f>Parametros!I71</f>
        <v>100000</v>
      </c>
      <c r="G27" s="3">
        <f>+Parametros!F71*'Activos fijos'!F27</f>
        <v>300000</v>
      </c>
    </row>
    <row r="28" spans="2:10">
      <c r="B28" s="158" t="s">
        <v>125</v>
      </c>
      <c r="C28" s="159"/>
      <c r="D28" s="159"/>
      <c r="E28" s="159"/>
      <c r="F28" s="159"/>
      <c r="G28" s="159"/>
    </row>
    <row r="29" spans="2:10">
      <c r="B29" s="51" t="str">
        <f>Parametros!$B$77</f>
        <v>Varios</v>
      </c>
      <c r="C29" s="56">
        <f>+Parametros!C77</f>
        <v>1</v>
      </c>
      <c r="D29" s="56">
        <f>+Parametros!D77</f>
        <v>300000</v>
      </c>
      <c r="E29" s="3">
        <f>+C29*D29</f>
        <v>300000</v>
      </c>
      <c r="F29" s="56">
        <f>Parametros!I77</f>
        <v>1250</v>
      </c>
      <c r="G29" s="3">
        <f>+Parametros!F77*'Activos fijos'!F29</f>
        <v>18750</v>
      </c>
    </row>
    <row r="30" spans="2:10">
      <c r="B30" s="57"/>
      <c r="C30" s="57"/>
      <c r="D30" s="57"/>
      <c r="E30" s="57"/>
      <c r="F30" s="57"/>
      <c r="G30" s="57"/>
      <c r="H30" s="57"/>
      <c r="I30" s="57"/>
      <c r="J30" s="57"/>
    </row>
    <row r="31" spans="2:10">
      <c r="B31" s="160" t="s">
        <v>126</v>
      </c>
      <c r="C31" s="140">
        <f>SUM(E8:E9,E11:E12,E14:E22,E29,E27,E24:E25)</f>
        <v>68319950</v>
      </c>
      <c r="D31" s="58"/>
      <c r="E31" s="58"/>
      <c r="F31" s="58"/>
      <c r="G31" s="58"/>
      <c r="H31" s="58"/>
      <c r="I31" s="58"/>
      <c r="J31" s="58"/>
    </row>
    <row r="32" spans="2:10">
      <c r="B32" s="58"/>
      <c r="C32" s="58"/>
      <c r="D32" s="58"/>
      <c r="E32" s="58"/>
      <c r="F32" s="58"/>
      <c r="G32" s="58"/>
      <c r="H32" s="58"/>
      <c r="I32" s="58"/>
      <c r="J32" s="58"/>
    </row>
    <row r="33" spans="2:12" ht="18">
      <c r="B33" s="333" t="s">
        <v>296</v>
      </c>
      <c r="C33" s="333"/>
      <c r="D33" s="333"/>
    </row>
    <row r="35" spans="2:12" ht="18">
      <c r="B35" s="106" t="s">
        <v>2</v>
      </c>
      <c r="C35" s="106" t="s">
        <v>127</v>
      </c>
      <c r="D35" s="106">
        <v>2013</v>
      </c>
      <c r="E35" s="106">
        <v>2014</v>
      </c>
      <c r="F35" s="106">
        <v>2015</v>
      </c>
      <c r="G35" s="106">
        <v>2016</v>
      </c>
      <c r="H35" s="106">
        <v>2017</v>
      </c>
      <c r="I35" s="106">
        <v>2018</v>
      </c>
      <c r="J35" s="106">
        <v>2019</v>
      </c>
      <c r="K35" s="106">
        <v>2020</v>
      </c>
      <c r="L35" s="106">
        <v>2021</v>
      </c>
    </row>
    <row r="36" spans="2:12">
      <c r="B36" s="161" t="s">
        <v>120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</row>
    <row r="37" spans="2:12">
      <c r="B37" s="51" t="str">
        <f>+Parametros!$B$56</f>
        <v>Local Administrativo -Terreno</v>
      </c>
      <c r="C37" s="18">
        <f>IF(E8-G8&lt;0,0,E8-G8)</f>
        <v>6000000</v>
      </c>
      <c r="D37" s="18">
        <f t="shared" ref="D37:L38" si="1">IF(((C37-$F8)&lt;0),0,(C37-$F8))</f>
        <v>6000000</v>
      </c>
      <c r="E37" s="18">
        <f t="shared" si="1"/>
        <v>6000000</v>
      </c>
      <c r="F37" s="18">
        <f t="shared" si="1"/>
        <v>6000000</v>
      </c>
      <c r="G37" s="18">
        <f t="shared" si="1"/>
        <v>6000000</v>
      </c>
      <c r="H37" s="18">
        <f t="shared" si="1"/>
        <v>6000000</v>
      </c>
      <c r="I37" s="18">
        <f t="shared" si="1"/>
        <v>6000000</v>
      </c>
      <c r="J37" s="18">
        <f t="shared" si="1"/>
        <v>6000000</v>
      </c>
      <c r="K37" s="18">
        <f t="shared" si="1"/>
        <v>6000000</v>
      </c>
      <c r="L37" s="18">
        <f t="shared" si="1"/>
        <v>6000000</v>
      </c>
    </row>
    <row r="38" spans="2:12">
      <c r="B38" s="51" t="str">
        <f>+Parametros!$B$57</f>
        <v>Planta - Terreno</v>
      </c>
      <c r="C38" s="18">
        <f>IF(E9-G9&lt;0,0,E9-G9)</f>
        <v>12000000</v>
      </c>
      <c r="D38" s="18">
        <f t="shared" si="1"/>
        <v>12000000</v>
      </c>
      <c r="E38" s="18">
        <f t="shared" si="1"/>
        <v>12000000</v>
      </c>
      <c r="F38" s="18">
        <f t="shared" si="1"/>
        <v>12000000</v>
      </c>
      <c r="G38" s="18">
        <f t="shared" si="1"/>
        <v>12000000</v>
      </c>
      <c r="H38" s="18">
        <f t="shared" si="1"/>
        <v>12000000</v>
      </c>
      <c r="I38" s="18">
        <f t="shared" si="1"/>
        <v>12000000</v>
      </c>
      <c r="J38" s="18">
        <f t="shared" si="1"/>
        <v>12000000</v>
      </c>
      <c r="K38" s="18">
        <f t="shared" si="1"/>
        <v>12000000</v>
      </c>
      <c r="L38" s="18">
        <f t="shared" si="1"/>
        <v>12000000</v>
      </c>
    </row>
    <row r="39" spans="2:12"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</row>
    <row r="40" spans="2:12">
      <c r="B40" s="51" t="str">
        <f>+Parametros!$B$58</f>
        <v>Local Administrativo -Edificacion</v>
      </c>
      <c r="C40" s="18">
        <f>IF(E11-G11&lt;0,0,E11-G11)</f>
        <v>12068187</v>
      </c>
      <c r="D40" s="18">
        <f t="shared" ref="D40:L41" si="2">IF(((C40-$F11)&lt;0),0,(C40-$F11))</f>
        <v>12045460</v>
      </c>
      <c r="E40" s="18">
        <f t="shared" si="2"/>
        <v>12022733</v>
      </c>
      <c r="F40" s="18">
        <f t="shared" si="2"/>
        <v>12000006</v>
      </c>
      <c r="G40" s="18">
        <f t="shared" si="2"/>
        <v>11977279</v>
      </c>
      <c r="H40" s="18">
        <f t="shared" si="2"/>
        <v>11954552</v>
      </c>
      <c r="I40" s="18">
        <f t="shared" si="2"/>
        <v>11931825</v>
      </c>
      <c r="J40" s="18">
        <f t="shared" si="2"/>
        <v>11909098</v>
      </c>
      <c r="K40" s="18">
        <f t="shared" si="2"/>
        <v>11886371</v>
      </c>
      <c r="L40" s="18">
        <f t="shared" si="2"/>
        <v>11863644</v>
      </c>
    </row>
    <row r="41" spans="2:12">
      <c r="B41" s="51" t="str">
        <f>+Parametros!$B$59</f>
        <v>Planta - Edificacion</v>
      </c>
      <c r="C41" s="18">
        <f>IF(E12-G12&lt;0,0,E12-G12)</f>
        <v>14848486</v>
      </c>
      <c r="D41" s="18">
        <f t="shared" si="2"/>
        <v>14787880</v>
      </c>
      <c r="E41" s="18">
        <f t="shared" si="2"/>
        <v>14727274</v>
      </c>
      <c r="F41" s="18">
        <f t="shared" si="2"/>
        <v>14666668</v>
      </c>
      <c r="G41" s="18">
        <f t="shared" si="2"/>
        <v>14606062</v>
      </c>
      <c r="H41" s="18">
        <f t="shared" si="2"/>
        <v>14545456</v>
      </c>
      <c r="I41" s="18">
        <f t="shared" si="2"/>
        <v>14484850</v>
      </c>
      <c r="J41" s="18">
        <f t="shared" si="2"/>
        <v>14424244</v>
      </c>
      <c r="K41" s="18">
        <f t="shared" si="2"/>
        <v>14363638</v>
      </c>
      <c r="L41" s="18">
        <f t="shared" si="2"/>
        <v>14303032</v>
      </c>
    </row>
    <row r="42" spans="2:12">
      <c r="B42" s="164" t="s">
        <v>122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</row>
    <row r="43" spans="2:12">
      <c r="B43" s="51" t="str">
        <f>+Parametros!$B$41</f>
        <v>Horno Rotativo</v>
      </c>
      <c r="C43" s="18">
        <f t="shared" ref="C43:C51" si="3">IF(E14-G14&lt;0,0,E14-G14)</f>
        <v>2497500</v>
      </c>
      <c r="D43" s="18">
        <f t="shared" ref="D43:L51" si="4">IF(((C43-$F14)&lt;0),0,(C43-$F14))</f>
        <v>2247750</v>
      </c>
      <c r="E43" s="18">
        <f t="shared" si="4"/>
        <v>1998000</v>
      </c>
      <c r="F43" s="18">
        <f t="shared" si="4"/>
        <v>1748250</v>
      </c>
      <c r="G43" s="18">
        <f t="shared" si="4"/>
        <v>1498500</v>
      </c>
      <c r="H43" s="18">
        <f t="shared" si="4"/>
        <v>1248750</v>
      </c>
      <c r="I43" s="18">
        <f t="shared" si="4"/>
        <v>999000</v>
      </c>
      <c r="J43" s="18">
        <f t="shared" si="4"/>
        <v>749250</v>
      </c>
      <c r="K43" s="18">
        <f t="shared" si="4"/>
        <v>499500</v>
      </c>
      <c r="L43" s="18">
        <f t="shared" si="4"/>
        <v>249750</v>
      </c>
    </row>
    <row r="44" spans="2:12">
      <c r="B44" s="51" t="str">
        <f>+Parametros!$B$42</f>
        <v>Mezcladora de alta velocida</v>
      </c>
      <c r="C44" s="18">
        <f t="shared" si="3"/>
        <v>1110000</v>
      </c>
      <c r="D44" s="18">
        <f t="shared" si="4"/>
        <v>888000</v>
      </c>
      <c r="E44" s="18">
        <f t="shared" si="4"/>
        <v>666000</v>
      </c>
      <c r="F44" s="18">
        <f t="shared" si="4"/>
        <v>444000</v>
      </c>
      <c r="G44" s="18">
        <f t="shared" si="4"/>
        <v>222000</v>
      </c>
      <c r="H44" s="18">
        <f t="shared" si="4"/>
        <v>0</v>
      </c>
      <c r="I44" s="18">
        <f t="shared" si="4"/>
        <v>0</v>
      </c>
      <c r="J44" s="18">
        <f t="shared" si="4"/>
        <v>0</v>
      </c>
      <c r="K44" s="18">
        <f t="shared" si="4"/>
        <v>0</v>
      </c>
      <c r="L44" s="18">
        <f t="shared" si="4"/>
        <v>0</v>
      </c>
    </row>
    <row r="45" spans="2:12">
      <c r="B45" s="51" t="str">
        <f>+Parametros!$B$43</f>
        <v>Laminadora</v>
      </c>
      <c r="C45" s="18">
        <f t="shared" si="3"/>
        <v>2725050</v>
      </c>
      <c r="D45" s="18">
        <f t="shared" si="4"/>
        <v>2452545</v>
      </c>
      <c r="E45" s="18">
        <f t="shared" si="4"/>
        <v>2180040</v>
      </c>
      <c r="F45" s="18">
        <f t="shared" si="4"/>
        <v>1907535</v>
      </c>
      <c r="G45" s="18">
        <f t="shared" si="4"/>
        <v>1635030</v>
      </c>
      <c r="H45" s="18">
        <f t="shared" si="4"/>
        <v>1362525</v>
      </c>
      <c r="I45" s="18">
        <f t="shared" si="4"/>
        <v>1090020</v>
      </c>
      <c r="J45" s="18">
        <f t="shared" si="4"/>
        <v>817515</v>
      </c>
      <c r="K45" s="18">
        <f t="shared" si="4"/>
        <v>545010</v>
      </c>
      <c r="L45" s="18">
        <f t="shared" si="4"/>
        <v>272505</v>
      </c>
    </row>
    <row r="46" spans="2:12">
      <c r="B46" s="51" t="str">
        <f>+Parametros!$B$44</f>
        <v>Cinta transportadora</v>
      </c>
      <c r="C46" s="18">
        <f t="shared" si="3"/>
        <v>63825</v>
      </c>
      <c r="D46" s="18">
        <f t="shared" si="4"/>
        <v>51060</v>
      </c>
      <c r="E46" s="18">
        <f t="shared" si="4"/>
        <v>38295</v>
      </c>
      <c r="F46" s="18">
        <f t="shared" si="4"/>
        <v>25530</v>
      </c>
      <c r="G46" s="18">
        <f t="shared" si="4"/>
        <v>12765</v>
      </c>
      <c r="H46" s="18">
        <f t="shared" si="4"/>
        <v>0</v>
      </c>
      <c r="I46" s="18">
        <f t="shared" si="4"/>
        <v>0</v>
      </c>
      <c r="J46" s="18">
        <f t="shared" si="4"/>
        <v>0</v>
      </c>
      <c r="K46" s="18">
        <f t="shared" si="4"/>
        <v>0</v>
      </c>
      <c r="L46" s="18">
        <f t="shared" si="4"/>
        <v>0</v>
      </c>
    </row>
    <row r="47" spans="2:12">
      <c r="B47" s="51" t="str">
        <f>+Parametros!$B$45</f>
        <v>Apilador de Galletas</v>
      </c>
      <c r="C47" s="18">
        <f t="shared" si="3"/>
        <v>323750</v>
      </c>
      <c r="D47" s="18">
        <f t="shared" si="4"/>
        <v>259000</v>
      </c>
      <c r="E47" s="18">
        <f t="shared" si="4"/>
        <v>194250</v>
      </c>
      <c r="F47" s="18">
        <f t="shared" si="4"/>
        <v>129500</v>
      </c>
      <c r="G47" s="18">
        <f t="shared" si="4"/>
        <v>64750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</row>
    <row r="48" spans="2:12">
      <c r="B48" s="51" t="str">
        <f>+Parametros!$B$46</f>
        <v>Estuchadora de Caja</v>
      </c>
      <c r="C48" s="18">
        <f t="shared" si="3"/>
        <v>1107225</v>
      </c>
      <c r="D48" s="18">
        <f t="shared" si="4"/>
        <v>996502.5</v>
      </c>
      <c r="E48" s="18">
        <f t="shared" si="4"/>
        <v>885780</v>
      </c>
      <c r="F48" s="18">
        <f t="shared" si="4"/>
        <v>775057.5</v>
      </c>
      <c r="G48" s="18">
        <f t="shared" si="4"/>
        <v>664335</v>
      </c>
      <c r="H48" s="18">
        <f t="shared" si="4"/>
        <v>553612.5</v>
      </c>
      <c r="I48" s="18">
        <f t="shared" si="4"/>
        <v>442890</v>
      </c>
      <c r="J48" s="18">
        <f t="shared" si="4"/>
        <v>332167.5</v>
      </c>
      <c r="K48" s="18">
        <f t="shared" si="4"/>
        <v>221445</v>
      </c>
      <c r="L48" s="18">
        <f t="shared" si="4"/>
        <v>110722.5</v>
      </c>
    </row>
    <row r="49" spans="2:12">
      <c r="B49" s="51" t="str">
        <f>+Parametros!$B$47</f>
        <v>Estuchadora flow pack</v>
      </c>
      <c r="C49" s="18">
        <f t="shared" si="3"/>
        <v>2009100</v>
      </c>
      <c r="D49" s="18">
        <f t="shared" si="4"/>
        <v>1808190</v>
      </c>
      <c r="E49" s="18">
        <f t="shared" si="4"/>
        <v>1607280</v>
      </c>
      <c r="F49" s="18">
        <f t="shared" si="4"/>
        <v>1406370</v>
      </c>
      <c r="G49" s="18">
        <f t="shared" si="4"/>
        <v>1205460</v>
      </c>
      <c r="H49" s="18">
        <f t="shared" si="4"/>
        <v>1004550</v>
      </c>
      <c r="I49" s="18">
        <f t="shared" si="4"/>
        <v>803640</v>
      </c>
      <c r="J49" s="18">
        <f t="shared" si="4"/>
        <v>602730</v>
      </c>
      <c r="K49" s="18">
        <f t="shared" si="4"/>
        <v>401820</v>
      </c>
      <c r="L49" s="18">
        <f t="shared" si="4"/>
        <v>200910</v>
      </c>
    </row>
    <row r="50" spans="2:12">
      <c r="B50" s="51" t="str">
        <f>+Parametros!$B$48</f>
        <v>Paletizadora</v>
      </c>
      <c r="C50" s="18">
        <f t="shared" si="3"/>
        <v>585525</v>
      </c>
      <c r="D50" s="18">
        <f t="shared" si="4"/>
        <v>526972.5</v>
      </c>
      <c r="E50" s="18">
        <f t="shared" si="4"/>
        <v>468420</v>
      </c>
      <c r="F50" s="18">
        <f t="shared" si="4"/>
        <v>409867.5</v>
      </c>
      <c r="G50" s="18">
        <f t="shared" si="4"/>
        <v>351315</v>
      </c>
      <c r="H50" s="18">
        <f t="shared" si="4"/>
        <v>292762.5</v>
      </c>
      <c r="I50" s="18">
        <f t="shared" si="4"/>
        <v>234210</v>
      </c>
      <c r="J50" s="18">
        <f t="shared" si="4"/>
        <v>175657.5</v>
      </c>
      <c r="K50" s="18">
        <f t="shared" si="4"/>
        <v>117105</v>
      </c>
      <c r="L50" s="18">
        <f t="shared" si="4"/>
        <v>58552.5</v>
      </c>
    </row>
    <row r="51" spans="2:12">
      <c r="B51" s="51" t="str">
        <f>+Parametros!$B$49</f>
        <v>Carretilladora elevadora</v>
      </c>
      <c r="C51" s="18">
        <f t="shared" si="3"/>
        <v>48000</v>
      </c>
      <c r="D51" s="18">
        <f t="shared" si="4"/>
        <v>36000</v>
      </c>
      <c r="E51" s="18">
        <f t="shared" si="4"/>
        <v>24000</v>
      </c>
      <c r="F51" s="18">
        <f t="shared" si="4"/>
        <v>12000</v>
      </c>
      <c r="G51" s="18">
        <f t="shared" si="4"/>
        <v>0</v>
      </c>
      <c r="H51" s="18">
        <f t="shared" si="4"/>
        <v>0</v>
      </c>
      <c r="I51" s="18">
        <f t="shared" si="4"/>
        <v>0</v>
      </c>
      <c r="J51" s="18">
        <f t="shared" si="4"/>
        <v>0</v>
      </c>
      <c r="K51" s="18">
        <f t="shared" si="4"/>
        <v>0</v>
      </c>
      <c r="L51" s="18">
        <f t="shared" si="4"/>
        <v>0</v>
      </c>
    </row>
    <row r="52" spans="2:12">
      <c r="B52" s="164" t="s">
        <v>123</v>
      </c>
      <c r="C52" s="163"/>
      <c r="D52" s="163"/>
      <c r="E52" s="163"/>
      <c r="F52" s="163"/>
      <c r="G52" s="163"/>
      <c r="H52" s="163"/>
      <c r="I52" s="163"/>
      <c r="J52" s="163"/>
      <c r="K52" s="163"/>
      <c r="L52" s="163"/>
    </row>
    <row r="53" spans="2:12">
      <c r="B53" s="51" t="str">
        <f>+Parametros!$B$64</f>
        <v>Impresora</v>
      </c>
      <c r="C53" s="18">
        <f>IF(E24-G24&lt;0,0,E24-G24)</f>
        <v>20000</v>
      </c>
      <c r="D53" s="18">
        <f t="shared" ref="D53:L54" si="5">IF(((C53-$F24)&lt;0),0,(C53-$F24))</f>
        <v>10000</v>
      </c>
      <c r="E53" s="18">
        <f t="shared" si="5"/>
        <v>0</v>
      </c>
      <c r="F53" s="18">
        <f t="shared" si="5"/>
        <v>0</v>
      </c>
      <c r="G53" s="18">
        <f t="shared" si="5"/>
        <v>0</v>
      </c>
      <c r="H53" s="18">
        <f t="shared" si="5"/>
        <v>0</v>
      </c>
      <c r="I53" s="18">
        <f t="shared" si="5"/>
        <v>0</v>
      </c>
      <c r="J53" s="18">
        <f t="shared" si="5"/>
        <v>0</v>
      </c>
      <c r="K53" s="18">
        <f t="shared" si="5"/>
        <v>0</v>
      </c>
      <c r="L53" s="18">
        <f t="shared" si="5"/>
        <v>0</v>
      </c>
    </row>
    <row r="54" spans="2:12">
      <c r="B54" s="51" t="str">
        <f>+Parametros!$B$65</f>
        <v>Equipos de computo</v>
      </c>
      <c r="C54" s="18">
        <f>IF(E25-G25&lt;0,0,E25-G25)</f>
        <v>35000</v>
      </c>
      <c r="D54" s="18">
        <f t="shared" si="5"/>
        <v>32500</v>
      </c>
      <c r="E54" s="18">
        <f t="shared" si="5"/>
        <v>30000</v>
      </c>
      <c r="F54" s="18">
        <f t="shared" si="5"/>
        <v>27500</v>
      </c>
      <c r="G54" s="18">
        <f t="shared" si="5"/>
        <v>25000</v>
      </c>
      <c r="H54" s="18">
        <f t="shared" si="5"/>
        <v>22500</v>
      </c>
      <c r="I54" s="18">
        <f t="shared" si="5"/>
        <v>20000</v>
      </c>
      <c r="J54" s="18">
        <f t="shared" si="5"/>
        <v>17500</v>
      </c>
      <c r="K54" s="18">
        <f t="shared" si="5"/>
        <v>15000</v>
      </c>
      <c r="L54" s="18">
        <f t="shared" si="5"/>
        <v>12500</v>
      </c>
    </row>
    <row r="55" spans="2:12">
      <c r="B55" s="164" t="s">
        <v>124</v>
      </c>
      <c r="C55" s="163"/>
      <c r="D55" s="163"/>
      <c r="E55" s="163"/>
      <c r="F55" s="163"/>
      <c r="G55" s="163"/>
      <c r="H55" s="163"/>
      <c r="I55" s="163"/>
      <c r="J55" s="163"/>
      <c r="K55" s="163"/>
      <c r="L55" s="163"/>
    </row>
    <row r="56" spans="2:12">
      <c r="B56" s="51" t="str">
        <f>+Parametros!$B$71</f>
        <v>Camioneta</v>
      </c>
      <c r="C56" s="18">
        <f>IF(E27-G27&lt;0,0,E27-G27)</f>
        <v>200000</v>
      </c>
      <c r="D56" s="18">
        <f t="shared" ref="D56:L56" si="6">IF(((C56-$F27)&lt;0),0,(C56-$F27))</f>
        <v>100000</v>
      </c>
      <c r="E56" s="18">
        <f t="shared" si="6"/>
        <v>0</v>
      </c>
      <c r="F56" s="18">
        <f t="shared" si="6"/>
        <v>0</v>
      </c>
      <c r="G56" s="18">
        <f t="shared" si="6"/>
        <v>0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18">
        <f t="shared" si="6"/>
        <v>0</v>
      </c>
    </row>
    <row r="57" spans="2:12">
      <c r="B57" s="164" t="s">
        <v>125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</row>
    <row r="58" spans="2:12">
      <c r="B58" s="51" t="str">
        <f>Parametros!$B$77</f>
        <v>Varios</v>
      </c>
      <c r="C58" s="18">
        <f>IF(E29-G29&lt;0,0,E29-G29)</f>
        <v>281250</v>
      </c>
      <c r="D58" s="18">
        <f t="shared" ref="D58:L58" si="7">IF(((C58-$F29)&lt;0),0,(C58-$F29))</f>
        <v>280000</v>
      </c>
      <c r="E58" s="18">
        <f t="shared" si="7"/>
        <v>278750</v>
      </c>
      <c r="F58" s="18">
        <f t="shared" si="7"/>
        <v>277500</v>
      </c>
      <c r="G58" s="18">
        <f t="shared" si="7"/>
        <v>276250</v>
      </c>
      <c r="H58" s="18">
        <f t="shared" si="7"/>
        <v>275000</v>
      </c>
      <c r="I58" s="18">
        <f t="shared" si="7"/>
        <v>273750</v>
      </c>
      <c r="J58" s="18">
        <f t="shared" si="7"/>
        <v>272500</v>
      </c>
      <c r="K58" s="18">
        <f t="shared" si="7"/>
        <v>271250</v>
      </c>
      <c r="L58" s="18">
        <f t="shared" si="7"/>
        <v>270000</v>
      </c>
    </row>
    <row r="59" spans="2:12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2:12">
      <c r="B60" s="165" t="s">
        <v>128</v>
      </c>
      <c r="C60" s="139">
        <f>SUM(C37:C38,C40:C41,C43:C51,C53:C54,C56:C56,C58:C58)</f>
        <v>55922898</v>
      </c>
      <c r="D60" s="139">
        <f t="shared" ref="D60:L60" si="8">SUM(D37:D38,D40:D41,D43:D51,D53:D54,D56:D56,D58:D58)</f>
        <v>54521860</v>
      </c>
      <c r="E60" s="139">
        <f t="shared" si="8"/>
        <v>53120822</v>
      </c>
      <c r="F60" s="139">
        <f t="shared" si="8"/>
        <v>51829784</v>
      </c>
      <c r="G60" s="139">
        <f t="shared" si="8"/>
        <v>50538746</v>
      </c>
      <c r="H60" s="139">
        <f t="shared" si="8"/>
        <v>49259708</v>
      </c>
      <c r="I60" s="139">
        <f t="shared" si="8"/>
        <v>48280185</v>
      </c>
      <c r="J60" s="139">
        <f t="shared" si="8"/>
        <v>47300662</v>
      </c>
      <c r="K60" s="139">
        <f t="shared" si="8"/>
        <v>46321139</v>
      </c>
      <c r="L60" s="139">
        <f t="shared" si="8"/>
        <v>45341616</v>
      </c>
    </row>
    <row r="62" spans="2:12" ht="18" customHeight="1">
      <c r="B62" s="333" t="s">
        <v>445</v>
      </c>
      <c r="C62" s="333"/>
      <c r="D62" s="333"/>
    </row>
    <row r="64" spans="2:12" ht="36">
      <c r="B64" s="106" t="s">
        <v>2</v>
      </c>
      <c r="C64" s="106" t="s">
        <v>446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B65" s="161" t="s">
        <v>120</v>
      </c>
      <c r="C65" s="163"/>
      <c r="D65" s="163"/>
      <c r="E65" s="163"/>
      <c r="F65" s="163"/>
      <c r="G65" s="163"/>
      <c r="H65" s="163"/>
      <c r="I65" s="163"/>
      <c r="J65" s="163"/>
      <c r="K65" s="163"/>
      <c r="L65" s="163"/>
    </row>
    <row r="66" spans="2:12">
      <c r="B66" s="51" t="str">
        <f>+Parametros!$B$56</f>
        <v>Local Administrativo -Terreno</v>
      </c>
      <c r="C66" s="18">
        <f>F8</f>
        <v>0</v>
      </c>
      <c r="D66" s="18">
        <f>C37-D37</f>
        <v>0</v>
      </c>
      <c r="E66" s="18">
        <f>D37-E37</f>
        <v>0</v>
      </c>
      <c r="F66" s="18">
        <f t="shared" ref="F66:L66" si="9">E37-F37</f>
        <v>0</v>
      </c>
      <c r="G66" s="18">
        <f t="shared" si="9"/>
        <v>0</v>
      </c>
      <c r="H66" s="18">
        <f t="shared" si="9"/>
        <v>0</v>
      </c>
      <c r="I66" s="18">
        <f t="shared" si="9"/>
        <v>0</v>
      </c>
      <c r="J66" s="18">
        <f t="shared" si="9"/>
        <v>0</v>
      </c>
      <c r="K66" s="18">
        <f t="shared" si="9"/>
        <v>0</v>
      </c>
      <c r="L66" s="18">
        <f t="shared" si="9"/>
        <v>0</v>
      </c>
    </row>
    <row r="67" spans="2:12">
      <c r="B67" s="51" t="str">
        <f>+Parametros!$B$57</f>
        <v>Planta - Terreno</v>
      </c>
      <c r="C67" s="18">
        <f t="shared" ref="C67:C87" si="10">F9</f>
        <v>0</v>
      </c>
      <c r="D67" s="18">
        <f t="shared" ref="D67:L67" si="11">C38-D38</f>
        <v>0</v>
      </c>
      <c r="E67" s="18">
        <f t="shared" si="11"/>
        <v>0</v>
      </c>
      <c r="F67" s="18">
        <f t="shared" si="11"/>
        <v>0</v>
      </c>
      <c r="G67" s="18">
        <f t="shared" si="11"/>
        <v>0</v>
      </c>
      <c r="H67" s="18">
        <f t="shared" si="11"/>
        <v>0</v>
      </c>
      <c r="I67" s="18">
        <f t="shared" si="11"/>
        <v>0</v>
      </c>
      <c r="J67" s="18">
        <f t="shared" si="11"/>
        <v>0</v>
      </c>
      <c r="K67" s="18">
        <f t="shared" si="11"/>
        <v>0</v>
      </c>
      <c r="L67" s="18">
        <f t="shared" si="11"/>
        <v>0</v>
      </c>
    </row>
    <row r="68" spans="2:12"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</row>
    <row r="69" spans="2:12">
      <c r="B69" s="51" t="str">
        <f>+Parametros!$B$58</f>
        <v>Local Administrativo -Edificacion</v>
      </c>
      <c r="C69" s="18">
        <f t="shared" si="10"/>
        <v>22727</v>
      </c>
      <c r="D69" s="18">
        <f t="shared" ref="D69:L70" si="12">C40-D40</f>
        <v>22727</v>
      </c>
      <c r="E69" s="18">
        <f t="shared" si="12"/>
        <v>22727</v>
      </c>
      <c r="F69" s="18">
        <f t="shared" si="12"/>
        <v>22727</v>
      </c>
      <c r="G69" s="18">
        <f t="shared" si="12"/>
        <v>22727</v>
      </c>
      <c r="H69" s="18">
        <f t="shared" si="12"/>
        <v>22727</v>
      </c>
      <c r="I69" s="18">
        <f t="shared" si="12"/>
        <v>22727</v>
      </c>
      <c r="J69" s="18">
        <f t="shared" si="12"/>
        <v>22727</v>
      </c>
      <c r="K69" s="18">
        <f t="shared" si="12"/>
        <v>22727</v>
      </c>
      <c r="L69" s="18">
        <f t="shared" si="12"/>
        <v>22727</v>
      </c>
    </row>
    <row r="70" spans="2:12">
      <c r="B70" s="51" t="str">
        <f>+Parametros!$B$59</f>
        <v>Planta - Edificacion</v>
      </c>
      <c r="C70" s="18">
        <f t="shared" si="10"/>
        <v>60606</v>
      </c>
      <c r="D70" s="18">
        <f t="shared" si="12"/>
        <v>60606</v>
      </c>
      <c r="E70" s="18">
        <f t="shared" si="12"/>
        <v>60606</v>
      </c>
      <c r="F70" s="18">
        <f t="shared" si="12"/>
        <v>60606</v>
      </c>
      <c r="G70" s="18">
        <f t="shared" si="12"/>
        <v>60606</v>
      </c>
      <c r="H70" s="18">
        <f t="shared" si="12"/>
        <v>60606</v>
      </c>
      <c r="I70" s="18">
        <f t="shared" si="12"/>
        <v>60606</v>
      </c>
      <c r="J70" s="18">
        <f t="shared" si="12"/>
        <v>60606</v>
      </c>
      <c r="K70" s="18">
        <f t="shared" si="12"/>
        <v>60606</v>
      </c>
      <c r="L70" s="18">
        <f t="shared" si="12"/>
        <v>60606</v>
      </c>
    </row>
    <row r="71" spans="2:12">
      <c r="B71" s="164" t="s">
        <v>122</v>
      </c>
      <c r="C71" s="163"/>
      <c r="D71" s="163"/>
      <c r="E71" s="163"/>
      <c r="F71" s="163"/>
      <c r="G71" s="163"/>
      <c r="H71" s="163"/>
      <c r="I71" s="163"/>
      <c r="J71" s="163"/>
      <c r="K71" s="163"/>
      <c r="L71" s="163"/>
    </row>
    <row r="72" spans="2:12">
      <c r="B72" s="51" t="str">
        <f>+Parametros!$B$41</f>
        <v>Horno Rotativo</v>
      </c>
      <c r="C72" s="18">
        <f t="shared" si="10"/>
        <v>249750</v>
      </c>
      <c r="D72" s="18">
        <f t="shared" ref="D72:L80" si="13">C43-D43</f>
        <v>249750</v>
      </c>
      <c r="E72" s="18">
        <f t="shared" si="13"/>
        <v>249750</v>
      </c>
      <c r="F72" s="18">
        <f t="shared" si="13"/>
        <v>249750</v>
      </c>
      <c r="G72" s="18">
        <f t="shared" si="13"/>
        <v>249750</v>
      </c>
      <c r="H72" s="18">
        <f t="shared" si="13"/>
        <v>249750</v>
      </c>
      <c r="I72" s="18">
        <f t="shared" si="13"/>
        <v>249750</v>
      </c>
      <c r="J72" s="18">
        <f t="shared" si="13"/>
        <v>249750</v>
      </c>
      <c r="K72" s="18">
        <f t="shared" si="13"/>
        <v>249750</v>
      </c>
      <c r="L72" s="18">
        <f t="shared" si="13"/>
        <v>249750</v>
      </c>
    </row>
    <row r="73" spans="2:12">
      <c r="B73" s="51" t="str">
        <f>+Parametros!$B$42</f>
        <v>Mezcladora de alta velocida</v>
      </c>
      <c r="C73" s="18">
        <f t="shared" si="10"/>
        <v>222000</v>
      </c>
      <c r="D73" s="18">
        <f t="shared" si="13"/>
        <v>222000</v>
      </c>
      <c r="E73" s="18">
        <f t="shared" si="13"/>
        <v>222000</v>
      </c>
      <c r="F73" s="18">
        <f t="shared" si="13"/>
        <v>222000</v>
      </c>
      <c r="G73" s="18">
        <f t="shared" si="13"/>
        <v>222000</v>
      </c>
      <c r="H73" s="18">
        <f t="shared" si="13"/>
        <v>222000</v>
      </c>
      <c r="I73" s="18">
        <f t="shared" si="13"/>
        <v>0</v>
      </c>
      <c r="J73" s="18">
        <f t="shared" si="13"/>
        <v>0</v>
      </c>
      <c r="K73" s="18">
        <f t="shared" si="13"/>
        <v>0</v>
      </c>
      <c r="L73" s="18">
        <f t="shared" si="13"/>
        <v>0</v>
      </c>
    </row>
    <row r="74" spans="2:12">
      <c r="B74" s="51" t="str">
        <f>+Parametros!$B$43</f>
        <v>Laminadora</v>
      </c>
      <c r="C74" s="18">
        <f t="shared" si="10"/>
        <v>272505</v>
      </c>
      <c r="D74" s="18">
        <f t="shared" si="13"/>
        <v>272505</v>
      </c>
      <c r="E74" s="18">
        <f t="shared" si="13"/>
        <v>272505</v>
      </c>
      <c r="F74" s="18">
        <f t="shared" si="13"/>
        <v>272505</v>
      </c>
      <c r="G74" s="18">
        <f t="shared" si="13"/>
        <v>272505</v>
      </c>
      <c r="H74" s="18">
        <f t="shared" si="13"/>
        <v>272505</v>
      </c>
      <c r="I74" s="18">
        <f t="shared" si="13"/>
        <v>272505</v>
      </c>
      <c r="J74" s="18">
        <f t="shared" si="13"/>
        <v>272505</v>
      </c>
      <c r="K74" s="18">
        <f t="shared" si="13"/>
        <v>272505</v>
      </c>
      <c r="L74" s="18">
        <f t="shared" si="13"/>
        <v>272505</v>
      </c>
    </row>
    <row r="75" spans="2:12">
      <c r="B75" s="51" t="str">
        <f>+Parametros!$B$44</f>
        <v>Cinta transportadora</v>
      </c>
      <c r="C75" s="18">
        <f t="shared" si="10"/>
        <v>12765</v>
      </c>
      <c r="D75" s="18">
        <f t="shared" si="13"/>
        <v>12765</v>
      </c>
      <c r="E75" s="18">
        <f t="shared" si="13"/>
        <v>12765</v>
      </c>
      <c r="F75" s="18">
        <f t="shared" si="13"/>
        <v>12765</v>
      </c>
      <c r="G75" s="18">
        <f t="shared" si="13"/>
        <v>12765</v>
      </c>
      <c r="H75" s="18">
        <f t="shared" si="13"/>
        <v>12765</v>
      </c>
      <c r="I75" s="18">
        <f t="shared" si="13"/>
        <v>0</v>
      </c>
      <c r="J75" s="18">
        <f t="shared" si="13"/>
        <v>0</v>
      </c>
      <c r="K75" s="18">
        <f t="shared" si="13"/>
        <v>0</v>
      </c>
      <c r="L75" s="18">
        <f t="shared" si="13"/>
        <v>0</v>
      </c>
    </row>
    <row r="76" spans="2:12">
      <c r="B76" s="51" t="str">
        <f>+Parametros!$B$45</f>
        <v>Apilador de Galletas</v>
      </c>
      <c r="C76" s="18">
        <f t="shared" si="10"/>
        <v>64750</v>
      </c>
      <c r="D76" s="18">
        <f t="shared" si="13"/>
        <v>64750</v>
      </c>
      <c r="E76" s="18">
        <f t="shared" si="13"/>
        <v>64750</v>
      </c>
      <c r="F76" s="18">
        <f t="shared" si="13"/>
        <v>64750</v>
      </c>
      <c r="G76" s="18">
        <f t="shared" si="13"/>
        <v>64750</v>
      </c>
      <c r="H76" s="18">
        <f t="shared" si="13"/>
        <v>64750</v>
      </c>
      <c r="I76" s="18">
        <f t="shared" si="13"/>
        <v>0</v>
      </c>
      <c r="J76" s="18">
        <f t="shared" si="13"/>
        <v>0</v>
      </c>
      <c r="K76" s="18">
        <f t="shared" si="13"/>
        <v>0</v>
      </c>
      <c r="L76" s="18">
        <f t="shared" si="13"/>
        <v>0</v>
      </c>
    </row>
    <row r="77" spans="2:12">
      <c r="B77" s="51" t="str">
        <f>+Parametros!$B$46</f>
        <v>Estuchadora de Caja</v>
      </c>
      <c r="C77" s="18">
        <f t="shared" si="10"/>
        <v>110722.5</v>
      </c>
      <c r="D77" s="18">
        <f t="shared" si="13"/>
        <v>110722.5</v>
      </c>
      <c r="E77" s="18">
        <f t="shared" si="13"/>
        <v>110722.5</v>
      </c>
      <c r="F77" s="18">
        <f t="shared" si="13"/>
        <v>110722.5</v>
      </c>
      <c r="G77" s="18">
        <f t="shared" si="13"/>
        <v>110722.5</v>
      </c>
      <c r="H77" s="18">
        <f t="shared" si="13"/>
        <v>110722.5</v>
      </c>
      <c r="I77" s="18">
        <f t="shared" si="13"/>
        <v>110722.5</v>
      </c>
      <c r="J77" s="18">
        <f t="shared" si="13"/>
        <v>110722.5</v>
      </c>
      <c r="K77" s="18">
        <f t="shared" si="13"/>
        <v>110722.5</v>
      </c>
      <c r="L77" s="18">
        <f t="shared" si="13"/>
        <v>110722.5</v>
      </c>
    </row>
    <row r="78" spans="2:12">
      <c r="B78" s="51" t="str">
        <f>+Parametros!$B$47</f>
        <v>Estuchadora flow pack</v>
      </c>
      <c r="C78" s="18">
        <f t="shared" si="10"/>
        <v>200910</v>
      </c>
      <c r="D78" s="18">
        <f t="shared" si="13"/>
        <v>200910</v>
      </c>
      <c r="E78" s="18">
        <f t="shared" si="13"/>
        <v>200910</v>
      </c>
      <c r="F78" s="18">
        <f t="shared" si="13"/>
        <v>200910</v>
      </c>
      <c r="G78" s="18">
        <f t="shared" si="13"/>
        <v>200910</v>
      </c>
      <c r="H78" s="18">
        <f t="shared" si="13"/>
        <v>200910</v>
      </c>
      <c r="I78" s="18">
        <f t="shared" si="13"/>
        <v>200910</v>
      </c>
      <c r="J78" s="18">
        <f t="shared" si="13"/>
        <v>200910</v>
      </c>
      <c r="K78" s="18">
        <f t="shared" si="13"/>
        <v>200910</v>
      </c>
      <c r="L78" s="18">
        <f t="shared" si="13"/>
        <v>200910</v>
      </c>
    </row>
    <row r="79" spans="2:12">
      <c r="B79" s="51" t="str">
        <f>+Parametros!$B$48</f>
        <v>Paletizadora</v>
      </c>
      <c r="C79" s="18">
        <f t="shared" si="10"/>
        <v>58552.5</v>
      </c>
      <c r="D79" s="18">
        <f t="shared" si="13"/>
        <v>58552.5</v>
      </c>
      <c r="E79" s="18">
        <f t="shared" si="13"/>
        <v>58552.5</v>
      </c>
      <c r="F79" s="18">
        <f t="shared" si="13"/>
        <v>58552.5</v>
      </c>
      <c r="G79" s="18">
        <f t="shared" si="13"/>
        <v>58552.5</v>
      </c>
      <c r="H79" s="18">
        <f t="shared" si="13"/>
        <v>58552.5</v>
      </c>
      <c r="I79" s="18">
        <f t="shared" si="13"/>
        <v>58552.5</v>
      </c>
      <c r="J79" s="18">
        <f t="shared" si="13"/>
        <v>58552.5</v>
      </c>
      <c r="K79" s="18">
        <f t="shared" si="13"/>
        <v>58552.5</v>
      </c>
      <c r="L79" s="18">
        <f t="shared" si="13"/>
        <v>58552.5</v>
      </c>
    </row>
    <row r="80" spans="2:12">
      <c r="B80" s="51" t="str">
        <f>+Parametros!$B$49</f>
        <v>Carretilladora elevadora</v>
      </c>
      <c r="C80" s="18">
        <f t="shared" si="10"/>
        <v>12000</v>
      </c>
      <c r="D80" s="18">
        <f t="shared" si="13"/>
        <v>12000</v>
      </c>
      <c r="E80" s="18">
        <f t="shared" si="13"/>
        <v>12000</v>
      </c>
      <c r="F80" s="18">
        <f t="shared" si="13"/>
        <v>12000</v>
      </c>
      <c r="G80" s="18">
        <f t="shared" si="13"/>
        <v>12000</v>
      </c>
      <c r="H80" s="18">
        <f t="shared" si="13"/>
        <v>0</v>
      </c>
      <c r="I80" s="18">
        <f t="shared" si="13"/>
        <v>0</v>
      </c>
      <c r="J80" s="18">
        <f t="shared" si="13"/>
        <v>0</v>
      </c>
      <c r="K80" s="18">
        <f t="shared" si="13"/>
        <v>0</v>
      </c>
      <c r="L80" s="18">
        <f t="shared" si="13"/>
        <v>0</v>
      </c>
    </row>
    <row r="81" spans="2:12">
      <c r="B81" s="164" t="s">
        <v>123</v>
      </c>
      <c r="C81" s="163"/>
      <c r="D81" s="163"/>
      <c r="E81" s="163"/>
      <c r="F81" s="163"/>
      <c r="G81" s="163"/>
      <c r="H81" s="163"/>
      <c r="I81" s="163"/>
      <c r="J81" s="163"/>
      <c r="K81" s="163"/>
      <c r="L81" s="163"/>
    </row>
    <row r="82" spans="2:12">
      <c r="B82" s="51" t="str">
        <f>+Parametros!$B$64</f>
        <v>Impresora</v>
      </c>
      <c r="C82" s="18">
        <f t="shared" si="10"/>
        <v>10000</v>
      </c>
      <c r="D82" s="18">
        <f t="shared" ref="D82:L83" si="14">C53-D53</f>
        <v>10000</v>
      </c>
      <c r="E82" s="18">
        <f t="shared" si="14"/>
        <v>10000</v>
      </c>
      <c r="F82" s="18">
        <f t="shared" si="14"/>
        <v>0</v>
      </c>
      <c r="G82" s="18">
        <f t="shared" si="14"/>
        <v>0</v>
      </c>
      <c r="H82" s="18">
        <f t="shared" si="14"/>
        <v>0</v>
      </c>
      <c r="I82" s="18">
        <f t="shared" si="14"/>
        <v>0</v>
      </c>
      <c r="J82" s="18">
        <f t="shared" si="14"/>
        <v>0</v>
      </c>
      <c r="K82" s="18">
        <f t="shared" si="14"/>
        <v>0</v>
      </c>
      <c r="L82" s="18">
        <f t="shared" si="14"/>
        <v>0</v>
      </c>
    </row>
    <row r="83" spans="2:12">
      <c r="B83" s="51" t="str">
        <f>+Parametros!$B$65</f>
        <v>Equipos de computo</v>
      </c>
      <c r="C83" s="18">
        <f t="shared" si="10"/>
        <v>2500</v>
      </c>
      <c r="D83" s="18">
        <f t="shared" si="14"/>
        <v>2500</v>
      </c>
      <c r="E83" s="18">
        <f t="shared" si="14"/>
        <v>2500</v>
      </c>
      <c r="F83" s="18">
        <f t="shared" si="14"/>
        <v>2500</v>
      </c>
      <c r="G83" s="18">
        <f t="shared" si="14"/>
        <v>2500</v>
      </c>
      <c r="H83" s="18">
        <f t="shared" si="14"/>
        <v>2500</v>
      </c>
      <c r="I83" s="18">
        <f t="shared" si="14"/>
        <v>2500</v>
      </c>
      <c r="J83" s="18">
        <f t="shared" si="14"/>
        <v>2500</v>
      </c>
      <c r="K83" s="18">
        <f t="shared" si="14"/>
        <v>2500</v>
      </c>
      <c r="L83" s="18">
        <f t="shared" si="14"/>
        <v>2500</v>
      </c>
    </row>
    <row r="84" spans="2:12">
      <c r="B84" s="164" t="s">
        <v>124</v>
      </c>
      <c r="C84" s="163"/>
      <c r="D84" s="163"/>
      <c r="E84" s="163"/>
      <c r="F84" s="163"/>
      <c r="G84" s="163"/>
      <c r="H84" s="163"/>
      <c r="I84" s="163"/>
      <c r="J84" s="163"/>
      <c r="K84" s="163"/>
      <c r="L84" s="163"/>
    </row>
    <row r="85" spans="2:12">
      <c r="B85" s="51" t="str">
        <f>+Parametros!$B$71</f>
        <v>Camioneta</v>
      </c>
      <c r="C85" s="18">
        <f t="shared" si="10"/>
        <v>100000</v>
      </c>
      <c r="D85" s="18">
        <f t="shared" ref="D85:L85" si="15">C56-D56</f>
        <v>100000</v>
      </c>
      <c r="E85" s="18">
        <f t="shared" si="15"/>
        <v>100000</v>
      </c>
      <c r="F85" s="18">
        <f t="shared" si="15"/>
        <v>0</v>
      </c>
      <c r="G85" s="18">
        <f t="shared" si="15"/>
        <v>0</v>
      </c>
      <c r="H85" s="18">
        <f t="shared" si="15"/>
        <v>0</v>
      </c>
      <c r="I85" s="18">
        <f t="shared" si="15"/>
        <v>0</v>
      </c>
      <c r="J85" s="18">
        <f t="shared" si="15"/>
        <v>0</v>
      </c>
      <c r="K85" s="18">
        <f t="shared" si="15"/>
        <v>0</v>
      </c>
      <c r="L85" s="18">
        <f t="shared" si="15"/>
        <v>0</v>
      </c>
    </row>
    <row r="86" spans="2:12">
      <c r="B86" s="164" t="s">
        <v>125</v>
      </c>
      <c r="C86" s="163"/>
      <c r="D86" s="163"/>
      <c r="E86" s="163"/>
      <c r="F86" s="163"/>
      <c r="G86" s="163"/>
      <c r="H86" s="163"/>
      <c r="I86" s="163"/>
      <c r="J86" s="163"/>
      <c r="K86" s="163"/>
      <c r="L86" s="163"/>
    </row>
    <row r="87" spans="2:12">
      <c r="B87" s="51" t="str">
        <f>Parametros!$B$77</f>
        <v>Varios</v>
      </c>
      <c r="C87" s="18">
        <f t="shared" si="10"/>
        <v>1250</v>
      </c>
      <c r="D87" s="18">
        <f t="shared" ref="D87:L87" si="16">C58-D58</f>
        <v>1250</v>
      </c>
      <c r="E87" s="18">
        <f t="shared" si="16"/>
        <v>1250</v>
      </c>
      <c r="F87" s="18">
        <f t="shared" si="16"/>
        <v>1250</v>
      </c>
      <c r="G87" s="18">
        <f t="shared" si="16"/>
        <v>1250</v>
      </c>
      <c r="H87" s="18">
        <f t="shared" si="16"/>
        <v>1250</v>
      </c>
      <c r="I87" s="18">
        <f t="shared" si="16"/>
        <v>1250</v>
      </c>
      <c r="J87" s="18">
        <f t="shared" si="16"/>
        <v>1250</v>
      </c>
      <c r="K87" s="18">
        <f t="shared" si="16"/>
        <v>1250</v>
      </c>
      <c r="L87" s="18">
        <f t="shared" si="16"/>
        <v>1250</v>
      </c>
    </row>
    <row r="88" spans="2:1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2:12" ht="30">
      <c r="B89" s="166" t="s">
        <v>129</v>
      </c>
      <c r="C89" s="138">
        <f>SUM(C87,C85,C82:C83,C72:C80,C69:C70,C66:C67)</f>
        <v>1401038</v>
      </c>
      <c r="D89" s="138">
        <f t="shared" ref="D89:L89" si="17">SUM(D87,D85,D82:D83,D72:D80,D69:D70,D66:D67)</f>
        <v>1401038</v>
      </c>
      <c r="E89" s="138">
        <f t="shared" si="17"/>
        <v>1401038</v>
      </c>
      <c r="F89" s="138">
        <f t="shared" si="17"/>
        <v>1291038</v>
      </c>
      <c r="G89" s="138">
        <f t="shared" si="17"/>
        <v>1291038</v>
      </c>
      <c r="H89" s="138">
        <f t="shared" si="17"/>
        <v>1279038</v>
      </c>
      <c r="I89" s="138">
        <f t="shared" si="17"/>
        <v>979523</v>
      </c>
      <c r="J89" s="138">
        <f t="shared" si="17"/>
        <v>979523</v>
      </c>
      <c r="K89" s="138">
        <f t="shared" si="17"/>
        <v>979523</v>
      </c>
      <c r="L89" s="138">
        <f t="shared" si="17"/>
        <v>979523</v>
      </c>
    </row>
    <row r="91" spans="2:12" ht="18" customHeight="1">
      <c r="B91" s="333" t="s">
        <v>447</v>
      </c>
      <c r="C91" s="333"/>
      <c r="D91" s="333"/>
    </row>
    <row r="93" spans="2:12" ht="18">
      <c r="B93" s="106" t="s">
        <v>2</v>
      </c>
      <c r="C93" s="106" t="s">
        <v>127</v>
      </c>
      <c r="D93" s="106">
        <v>2013</v>
      </c>
      <c r="E93" s="106">
        <v>2014</v>
      </c>
      <c r="F93" s="106">
        <v>2015</v>
      </c>
      <c r="G93" s="106">
        <v>2016</v>
      </c>
      <c r="H93" s="106">
        <v>2017</v>
      </c>
      <c r="I93" s="106">
        <v>2018</v>
      </c>
      <c r="J93" s="106">
        <v>2019</v>
      </c>
      <c r="K93" s="106">
        <v>2020</v>
      </c>
      <c r="L93" s="106">
        <v>2021</v>
      </c>
    </row>
    <row r="94" spans="2:12" ht="24" customHeight="1">
      <c r="B94" s="161" t="s">
        <v>120</v>
      </c>
      <c r="C94" s="163"/>
      <c r="D94" s="163"/>
      <c r="E94" s="163"/>
      <c r="F94" s="163"/>
      <c r="G94" s="163"/>
      <c r="H94" s="163"/>
      <c r="I94" s="163"/>
      <c r="J94" s="163"/>
      <c r="K94" s="163"/>
      <c r="L94" s="163"/>
    </row>
    <row r="95" spans="2:12" ht="24" customHeight="1">
      <c r="B95" s="51" t="str">
        <f>+Parametros!$B$56</f>
        <v>Local Administrativo -Terreno</v>
      </c>
      <c r="C95" s="18">
        <f>IF(E8-G8&lt;0,0,E8-G8)</f>
        <v>6000000</v>
      </c>
      <c r="D95" s="18">
        <f t="shared" ref="D95:L96" si="18">IF(C95+$F8&gt;$E8,C95,C95+$F8)</f>
        <v>6000000</v>
      </c>
      <c r="E95" s="18">
        <f t="shared" si="18"/>
        <v>6000000</v>
      </c>
      <c r="F95" s="18">
        <f t="shared" si="18"/>
        <v>6000000</v>
      </c>
      <c r="G95" s="18">
        <f t="shared" si="18"/>
        <v>6000000</v>
      </c>
      <c r="H95" s="18">
        <f t="shared" si="18"/>
        <v>6000000</v>
      </c>
      <c r="I95" s="18">
        <f t="shared" si="18"/>
        <v>6000000</v>
      </c>
      <c r="J95" s="18">
        <f t="shared" si="18"/>
        <v>6000000</v>
      </c>
      <c r="K95" s="18">
        <f t="shared" si="18"/>
        <v>6000000</v>
      </c>
      <c r="L95" s="18">
        <f t="shared" si="18"/>
        <v>6000000</v>
      </c>
    </row>
    <row r="96" spans="2:12" ht="24" customHeight="1">
      <c r="B96" s="51" t="str">
        <f>+Parametros!$B$57</f>
        <v>Planta - Terreno</v>
      </c>
      <c r="C96" s="18">
        <f>IF(E9-G9&lt;0,0,E9-G9)</f>
        <v>12000000</v>
      </c>
      <c r="D96" s="18">
        <f t="shared" si="18"/>
        <v>12000000</v>
      </c>
      <c r="E96" s="18">
        <f t="shared" si="18"/>
        <v>12000000</v>
      </c>
      <c r="F96" s="18">
        <f t="shared" si="18"/>
        <v>12000000</v>
      </c>
      <c r="G96" s="18">
        <f t="shared" si="18"/>
        <v>12000000</v>
      </c>
      <c r="H96" s="18">
        <f t="shared" si="18"/>
        <v>12000000</v>
      </c>
      <c r="I96" s="18">
        <f t="shared" si="18"/>
        <v>12000000</v>
      </c>
      <c r="J96" s="18">
        <f t="shared" si="18"/>
        <v>12000000</v>
      </c>
      <c r="K96" s="18">
        <f t="shared" si="18"/>
        <v>12000000</v>
      </c>
      <c r="L96" s="18">
        <f t="shared" si="18"/>
        <v>12000000</v>
      </c>
    </row>
    <row r="97" spans="2:12">
      <c r="B97" s="163"/>
      <c r="C97" s="162"/>
      <c r="D97" s="162"/>
      <c r="E97" s="162"/>
      <c r="F97" s="162"/>
      <c r="G97" s="162"/>
      <c r="H97" s="162"/>
      <c r="I97" s="162"/>
      <c r="J97" s="162"/>
      <c r="K97" s="162"/>
      <c r="L97" s="162"/>
    </row>
    <row r="98" spans="2:12">
      <c r="B98" s="51" t="str">
        <f>+Parametros!$B$58</f>
        <v>Local Administrativo -Edificacion</v>
      </c>
      <c r="C98" s="18">
        <f>IF(E11-G11&lt;0,0,E11-G11)</f>
        <v>12068187</v>
      </c>
      <c r="D98" s="18">
        <f t="shared" ref="D98:L99" si="19">IF(C98+$F11&gt;$E11,C98,C98+$F11)</f>
        <v>12090914</v>
      </c>
      <c r="E98" s="18">
        <f t="shared" si="19"/>
        <v>12113641</v>
      </c>
      <c r="F98" s="18">
        <f t="shared" si="19"/>
        <v>12136368</v>
      </c>
      <c r="G98" s="18">
        <f t="shared" si="19"/>
        <v>12159095</v>
      </c>
      <c r="H98" s="18">
        <f t="shared" si="19"/>
        <v>12181822</v>
      </c>
      <c r="I98" s="18">
        <f t="shared" si="19"/>
        <v>12204549</v>
      </c>
      <c r="J98" s="18">
        <f t="shared" si="19"/>
        <v>12227276</v>
      </c>
      <c r="K98" s="18">
        <f t="shared" si="19"/>
        <v>12250003</v>
      </c>
      <c r="L98" s="18">
        <f t="shared" si="19"/>
        <v>12272730</v>
      </c>
    </row>
    <row r="99" spans="2:12">
      <c r="B99" s="51" t="str">
        <f>+Parametros!$B$59</f>
        <v>Planta - Edificacion</v>
      </c>
      <c r="C99" s="18">
        <f>IF(E12-G12&lt;0,0,E12-G12)</f>
        <v>14848486</v>
      </c>
      <c r="D99" s="18">
        <f t="shared" si="19"/>
        <v>14909092</v>
      </c>
      <c r="E99" s="18">
        <f t="shared" si="19"/>
        <v>14969698</v>
      </c>
      <c r="F99" s="18">
        <f t="shared" si="19"/>
        <v>15030304</v>
      </c>
      <c r="G99" s="18">
        <f t="shared" si="19"/>
        <v>15090910</v>
      </c>
      <c r="H99" s="18">
        <f t="shared" si="19"/>
        <v>15151516</v>
      </c>
      <c r="I99" s="18">
        <f t="shared" si="19"/>
        <v>15212122</v>
      </c>
      <c r="J99" s="18">
        <f t="shared" si="19"/>
        <v>15272728</v>
      </c>
      <c r="K99" s="18">
        <f t="shared" si="19"/>
        <v>15333334</v>
      </c>
      <c r="L99" s="18">
        <f t="shared" si="19"/>
        <v>15393940</v>
      </c>
    </row>
    <row r="100" spans="2:12">
      <c r="B100" s="164" t="s">
        <v>122</v>
      </c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</row>
    <row r="101" spans="2:12">
      <c r="B101" s="51" t="str">
        <f>+Parametros!$B$41</f>
        <v>Horno Rotativo</v>
      </c>
      <c r="C101" s="18">
        <f t="shared" ref="C101:C109" si="20">IF(E14-G14&lt;0,0,E14-G14)</f>
        <v>2497500</v>
      </c>
      <c r="D101" s="18">
        <f t="shared" ref="D101:L109" si="21">IF(C101+$F14&gt;$E14,C101,C101+$F14)</f>
        <v>2747250</v>
      </c>
      <c r="E101" s="18">
        <f t="shared" si="21"/>
        <v>2997000</v>
      </c>
      <c r="F101" s="18">
        <f t="shared" si="21"/>
        <v>3246750</v>
      </c>
      <c r="G101" s="18">
        <f t="shared" si="21"/>
        <v>3496500</v>
      </c>
      <c r="H101" s="18">
        <f t="shared" si="21"/>
        <v>3746250</v>
      </c>
      <c r="I101" s="18">
        <f t="shared" si="21"/>
        <v>3996000</v>
      </c>
      <c r="J101" s="18">
        <f t="shared" si="21"/>
        <v>4245750</v>
      </c>
      <c r="K101" s="18">
        <f t="shared" si="21"/>
        <v>4495500</v>
      </c>
      <c r="L101" s="18">
        <f t="shared" si="21"/>
        <v>4745250</v>
      </c>
    </row>
    <row r="102" spans="2:12">
      <c r="B102" s="51" t="str">
        <f>+Parametros!$B$42</f>
        <v>Mezcladora de alta velocida</v>
      </c>
      <c r="C102" s="18">
        <f t="shared" si="20"/>
        <v>1110000</v>
      </c>
      <c r="D102" s="18">
        <f t="shared" si="21"/>
        <v>1332000</v>
      </c>
      <c r="E102" s="18">
        <f t="shared" si="21"/>
        <v>1554000</v>
      </c>
      <c r="F102" s="18">
        <f t="shared" si="21"/>
        <v>1776000</v>
      </c>
      <c r="G102" s="18">
        <f t="shared" si="21"/>
        <v>1998000</v>
      </c>
      <c r="H102" s="18">
        <f t="shared" si="21"/>
        <v>2220000</v>
      </c>
      <c r="I102" s="18">
        <f t="shared" si="21"/>
        <v>2220000</v>
      </c>
      <c r="J102" s="18">
        <f t="shared" si="21"/>
        <v>2220000</v>
      </c>
      <c r="K102" s="18">
        <f t="shared" si="21"/>
        <v>2220000</v>
      </c>
      <c r="L102" s="18">
        <f t="shared" si="21"/>
        <v>2220000</v>
      </c>
    </row>
    <row r="103" spans="2:12">
      <c r="B103" s="51" t="str">
        <f>+Parametros!$B$43</f>
        <v>Laminadora</v>
      </c>
      <c r="C103" s="18">
        <f t="shared" si="20"/>
        <v>2725050</v>
      </c>
      <c r="D103" s="18">
        <f t="shared" si="21"/>
        <v>2997555</v>
      </c>
      <c r="E103" s="18">
        <f t="shared" si="21"/>
        <v>3270060</v>
      </c>
      <c r="F103" s="18">
        <f t="shared" si="21"/>
        <v>3542565</v>
      </c>
      <c r="G103" s="18">
        <f t="shared" si="21"/>
        <v>3815070</v>
      </c>
      <c r="H103" s="18">
        <f t="shared" si="21"/>
        <v>4087575</v>
      </c>
      <c r="I103" s="18">
        <f t="shared" si="21"/>
        <v>4360080</v>
      </c>
      <c r="J103" s="18">
        <f t="shared" si="21"/>
        <v>4632585</v>
      </c>
      <c r="K103" s="18">
        <f t="shared" si="21"/>
        <v>4905090</v>
      </c>
      <c r="L103" s="18">
        <f t="shared" si="21"/>
        <v>5177595</v>
      </c>
    </row>
    <row r="104" spans="2:12">
      <c r="B104" s="51" t="str">
        <f>+Parametros!$B$44</f>
        <v>Cinta transportadora</v>
      </c>
      <c r="C104" s="18">
        <f t="shared" si="20"/>
        <v>63825</v>
      </c>
      <c r="D104" s="18">
        <f t="shared" si="21"/>
        <v>76590</v>
      </c>
      <c r="E104" s="18">
        <f t="shared" si="21"/>
        <v>89355</v>
      </c>
      <c r="F104" s="18">
        <f t="shared" si="21"/>
        <v>102120</v>
      </c>
      <c r="G104" s="18">
        <f t="shared" si="21"/>
        <v>114885</v>
      </c>
      <c r="H104" s="18">
        <f t="shared" si="21"/>
        <v>127650</v>
      </c>
      <c r="I104" s="18">
        <f t="shared" si="21"/>
        <v>127650</v>
      </c>
      <c r="J104" s="18">
        <f t="shared" si="21"/>
        <v>127650</v>
      </c>
      <c r="K104" s="18">
        <f t="shared" si="21"/>
        <v>127650</v>
      </c>
      <c r="L104" s="18">
        <f t="shared" si="21"/>
        <v>127650</v>
      </c>
    </row>
    <row r="105" spans="2:12">
      <c r="B105" s="51" t="str">
        <f>+Parametros!$B$45</f>
        <v>Apilador de Galletas</v>
      </c>
      <c r="C105" s="18">
        <f t="shared" si="20"/>
        <v>323750</v>
      </c>
      <c r="D105" s="18">
        <f t="shared" si="21"/>
        <v>388500</v>
      </c>
      <c r="E105" s="18">
        <f t="shared" si="21"/>
        <v>453250</v>
      </c>
      <c r="F105" s="18">
        <f t="shared" si="21"/>
        <v>518000</v>
      </c>
      <c r="G105" s="18">
        <f t="shared" si="21"/>
        <v>582750</v>
      </c>
      <c r="H105" s="18">
        <f t="shared" si="21"/>
        <v>647500</v>
      </c>
      <c r="I105" s="18">
        <f t="shared" si="21"/>
        <v>647500</v>
      </c>
      <c r="J105" s="18">
        <f t="shared" si="21"/>
        <v>647500</v>
      </c>
      <c r="K105" s="18">
        <f t="shared" si="21"/>
        <v>647500</v>
      </c>
      <c r="L105" s="18">
        <f t="shared" si="21"/>
        <v>647500</v>
      </c>
    </row>
    <row r="106" spans="2:12">
      <c r="B106" s="51" t="str">
        <f>+Parametros!$B$46</f>
        <v>Estuchadora de Caja</v>
      </c>
      <c r="C106" s="18">
        <f t="shared" si="20"/>
        <v>1107225</v>
      </c>
      <c r="D106" s="18">
        <f t="shared" si="21"/>
        <v>1217947.5</v>
      </c>
      <c r="E106" s="18">
        <f t="shared" si="21"/>
        <v>1328670</v>
      </c>
      <c r="F106" s="18">
        <f t="shared" si="21"/>
        <v>1439392.5</v>
      </c>
      <c r="G106" s="18">
        <f t="shared" si="21"/>
        <v>1550115</v>
      </c>
      <c r="H106" s="18">
        <f t="shared" si="21"/>
        <v>1660837.5</v>
      </c>
      <c r="I106" s="18">
        <f t="shared" si="21"/>
        <v>1771560</v>
      </c>
      <c r="J106" s="18">
        <f t="shared" si="21"/>
        <v>1882282.5</v>
      </c>
      <c r="K106" s="18">
        <f t="shared" si="21"/>
        <v>1993005</v>
      </c>
      <c r="L106" s="18">
        <f t="shared" si="21"/>
        <v>2103727.5</v>
      </c>
    </row>
    <row r="107" spans="2:12">
      <c r="B107" s="51" t="str">
        <f>+Parametros!$B$47</f>
        <v>Estuchadora flow pack</v>
      </c>
      <c r="C107" s="18">
        <f t="shared" si="20"/>
        <v>2009100</v>
      </c>
      <c r="D107" s="18">
        <f t="shared" si="21"/>
        <v>2210010</v>
      </c>
      <c r="E107" s="18">
        <f t="shared" si="21"/>
        <v>2410920</v>
      </c>
      <c r="F107" s="18">
        <f t="shared" si="21"/>
        <v>2611830</v>
      </c>
      <c r="G107" s="18">
        <f t="shared" si="21"/>
        <v>2812740</v>
      </c>
      <c r="H107" s="18">
        <f t="shared" si="21"/>
        <v>3013650</v>
      </c>
      <c r="I107" s="18">
        <f t="shared" si="21"/>
        <v>3214560</v>
      </c>
      <c r="J107" s="18">
        <f t="shared" si="21"/>
        <v>3415470</v>
      </c>
      <c r="K107" s="18">
        <f t="shared" si="21"/>
        <v>3616380</v>
      </c>
      <c r="L107" s="18">
        <f t="shared" si="21"/>
        <v>3817290</v>
      </c>
    </row>
    <row r="108" spans="2:12">
      <c r="B108" s="51" t="str">
        <f>+Parametros!$B$48</f>
        <v>Paletizadora</v>
      </c>
      <c r="C108" s="18">
        <f t="shared" si="20"/>
        <v>585525</v>
      </c>
      <c r="D108" s="18">
        <f t="shared" si="21"/>
        <v>644077.5</v>
      </c>
      <c r="E108" s="18">
        <f t="shared" si="21"/>
        <v>702630</v>
      </c>
      <c r="F108" s="18">
        <f t="shared" si="21"/>
        <v>761182.5</v>
      </c>
      <c r="G108" s="18">
        <f t="shared" si="21"/>
        <v>819735</v>
      </c>
      <c r="H108" s="18">
        <f t="shared" si="21"/>
        <v>878287.5</v>
      </c>
      <c r="I108" s="18">
        <f t="shared" si="21"/>
        <v>936840</v>
      </c>
      <c r="J108" s="18">
        <f t="shared" si="21"/>
        <v>995392.5</v>
      </c>
      <c r="K108" s="18">
        <f t="shared" si="21"/>
        <v>1053945</v>
      </c>
      <c r="L108" s="18">
        <f t="shared" si="21"/>
        <v>1112497.5</v>
      </c>
    </row>
    <row r="109" spans="2:12">
      <c r="B109" s="51" t="str">
        <f>+Parametros!$B$49</f>
        <v>Carretilladora elevadora</v>
      </c>
      <c r="C109" s="18">
        <f t="shared" si="20"/>
        <v>48000</v>
      </c>
      <c r="D109" s="18">
        <f t="shared" si="21"/>
        <v>60000</v>
      </c>
      <c r="E109" s="18">
        <f t="shared" si="21"/>
        <v>72000</v>
      </c>
      <c r="F109" s="18">
        <f t="shared" si="21"/>
        <v>84000</v>
      </c>
      <c r="G109" s="18">
        <f t="shared" si="21"/>
        <v>96000</v>
      </c>
      <c r="H109" s="18">
        <f t="shared" si="21"/>
        <v>96000</v>
      </c>
      <c r="I109" s="18">
        <f t="shared" si="21"/>
        <v>96000</v>
      </c>
      <c r="J109" s="18">
        <f t="shared" si="21"/>
        <v>96000</v>
      </c>
      <c r="K109" s="18">
        <f t="shared" si="21"/>
        <v>96000</v>
      </c>
      <c r="L109" s="18">
        <f t="shared" si="21"/>
        <v>96000</v>
      </c>
    </row>
    <row r="110" spans="2:12">
      <c r="B110" s="164" t="s">
        <v>123</v>
      </c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</row>
    <row r="111" spans="2:12">
      <c r="B111" s="51" t="str">
        <f>+Parametros!$B$64</f>
        <v>Impresora</v>
      </c>
      <c r="C111" s="18">
        <f>IF(E24-G24&lt;0,0,E24-G24)</f>
        <v>20000</v>
      </c>
      <c r="D111" s="18">
        <f t="shared" ref="D111:L112" si="22">IF(C111+$F24&gt;$E24,C111,C111+$F24)</f>
        <v>30000</v>
      </c>
      <c r="E111" s="18">
        <f t="shared" si="22"/>
        <v>40000</v>
      </c>
      <c r="F111" s="18">
        <f t="shared" si="22"/>
        <v>40000</v>
      </c>
      <c r="G111" s="18">
        <f t="shared" si="22"/>
        <v>40000</v>
      </c>
      <c r="H111" s="18">
        <f t="shared" si="22"/>
        <v>40000</v>
      </c>
      <c r="I111" s="18">
        <f t="shared" si="22"/>
        <v>40000</v>
      </c>
      <c r="J111" s="18">
        <f t="shared" si="22"/>
        <v>40000</v>
      </c>
      <c r="K111" s="18">
        <f t="shared" si="22"/>
        <v>40000</v>
      </c>
      <c r="L111" s="18">
        <f t="shared" si="22"/>
        <v>40000</v>
      </c>
    </row>
    <row r="112" spans="2:12">
      <c r="B112" s="51" t="str">
        <f>+Parametros!$B$65</f>
        <v>Equipos de computo</v>
      </c>
      <c r="C112" s="18">
        <f>IF(E25-G25&lt;0,0,E25-G25)</f>
        <v>35000</v>
      </c>
      <c r="D112" s="18">
        <f t="shared" si="22"/>
        <v>37500</v>
      </c>
      <c r="E112" s="18">
        <f t="shared" si="22"/>
        <v>40000</v>
      </c>
      <c r="F112" s="18">
        <f t="shared" si="22"/>
        <v>40000</v>
      </c>
      <c r="G112" s="18">
        <f t="shared" si="22"/>
        <v>40000</v>
      </c>
      <c r="H112" s="18">
        <f t="shared" si="22"/>
        <v>40000</v>
      </c>
      <c r="I112" s="18">
        <f t="shared" si="22"/>
        <v>40000</v>
      </c>
      <c r="J112" s="18">
        <f t="shared" si="22"/>
        <v>40000</v>
      </c>
      <c r="K112" s="18">
        <f t="shared" si="22"/>
        <v>40000</v>
      </c>
      <c r="L112" s="18">
        <f t="shared" si="22"/>
        <v>40000</v>
      </c>
    </row>
    <row r="113" spans="2:12">
      <c r="B113" s="164" t="s">
        <v>124</v>
      </c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</row>
    <row r="114" spans="2:12">
      <c r="B114" s="51" t="str">
        <f>+Parametros!$B$71</f>
        <v>Camioneta</v>
      </c>
      <c r="C114" s="18">
        <f>IF(E27-G27&lt;0,0,E27-G27)</f>
        <v>200000</v>
      </c>
      <c r="D114" s="18">
        <f t="shared" ref="D114:L114" si="23">IF(C114+$F27&gt;$E27,C114,C114+$F27)</f>
        <v>300000</v>
      </c>
      <c r="E114" s="18">
        <f t="shared" si="23"/>
        <v>400000</v>
      </c>
      <c r="F114" s="18">
        <f t="shared" si="23"/>
        <v>500000</v>
      </c>
      <c r="G114" s="18">
        <f t="shared" si="23"/>
        <v>500000</v>
      </c>
      <c r="H114" s="18">
        <f t="shared" si="23"/>
        <v>500000</v>
      </c>
      <c r="I114" s="18">
        <f t="shared" si="23"/>
        <v>500000</v>
      </c>
      <c r="J114" s="18">
        <f t="shared" si="23"/>
        <v>500000</v>
      </c>
      <c r="K114" s="18">
        <f t="shared" si="23"/>
        <v>500000</v>
      </c>
      <c r="L114" s="18">
        <f t="shared" si="23"/>
        <v>500000</v>
      </c>
    </row>
    <row r="115" spans="2:12">
      <c r="B115" s="164" t="s">
        <v>125</v>
      </c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</row>
    <row r="116" spans="2:12">
      <c r="B116" s="51" t="str">
        <f>Parametros!$B$77</f>
        <v>Varios</v>
      </c>
      <c r="C116" s="18">
        <f>IF(E29-G29&lt;0,0,E29-G29)</f>
        <v>281250</v>
      </c>
      <c r="D116" s="18">
        <f t="shared" ref="D116:L116" si="24">IF(C116+$F29&gt;$E29,C116,C116+$F29)</f>
        <v>282500</v>
      </c>
      <c r="E116" s="18">
        <f t="shared" si="24"/>
        <v>283750</v>
      </c>
      <c r="F116" s="18">
        <f t="shared" si="24"/>
        <v>285000</v>
      </c>
      <c r="G116" s="18">
        <f t="shared" si="24"/>
        <v>286250</v>
      </c>
      <c r="H116" s="18">
        <f t="shared" si="24"/>
        <v>287500</v>
      </c>
      <c r="I116" s="18">
        <f t="shared" si="24"/>
        <v>288750</v>
      </c>
      <c r="J116" s="18">
        <f t="shared" si="24"/>
        <v>290000</v>
      </c>
      <c r="K116" s="18">
        <f t="shared" si="24"/>
        <v>291250</v>
      </c>
      <c r="L116" s="18">
        <f t="shared" si="24"/>
        <v>292500</v>
      </c>
    </row>
    <row r="117" spans="2:1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2:12" ht="30">
      <c r="B118" s="166" t="s">
        <v>129</v>
      </c>
      <c r="C118" s="138">
        <f>SUM(C95:C96,C101:C109,C111:C112,C114:C114,C116:C116,C98:C99)</f>
        <v>55922898</v>
      </c>
      <c r="D118" s="138">
        <f t="shared" ref="D118:L118" si="25">SUM(D95:D96,D101:D109,D111:D112,D114:D114,D116:D116,D98:D99)</f>
        <v>57323936</v>
      </c>
      <c r="E118" s="138">
        <f t="shared" si="25"/>
        <v>58724974</v>
      </c>
      <c r="F118" s="138">
        <f t="shared" si="25"/>
        <v>60113512</v>
      </c>
      <c r="G118" s="138">
        <f t="shared" si="25"/>
        <v>61402050</v>
      </c>
      <c r="H118" s="138">
        <f t="shared" si="25"/>
        <v>62678588</v>
      </c>
      <c r="I118" s="138">
        <f t="shared" si="25"/>
        <v>63655611</v>
      </c>
      <c r="J118" s="138">
        <f t="shared" si="25"/>
        <v>64632634</v>
      </c>
      <c r="K118" s="138">
        <f t="shared" si="25"/>
        <v>65609657</v>
      </c>
      <c r="L118" s="138">
        <f t="shared" si="25"/>
        <v>66586680</v>
      </c>
    </row>
    <row r="120" spans="2:12" ht="18">
      <c r="B120" s="334" t="s">
        <v>448</v>
      </c>
      <c r="C120" s="334"/>
      <c r="D120" s="334"/>
    </row>
    <row r="122" spans="2:12" ht="18">
      <c r="B122" s="205"/>
      <c r="C122" s="106" t="s">
        <v>127</v>
      </c>
      <c r="D122" s="106">
        <v>2013</v>
      </c>
      <c r="E122" s="106">
        <v>2014</v>
      </c>
      <c r="F122" s="106">
        <v>2015</v>
      </c>
      <c r="G122" s="106">
        <v>2016</v>
      </c>
      <c r="H122" s="106">
        <v>2017</v>
      </c>
      <c r="I122" s="106">
        <v>2018</v>
      </c>
      <c r="J122" s="106">
        <v>2019</v>
      </c>
      <c r="K122" s="106">
        <v>2020</v>
      </c>
      <c r="L122" s="106">
        <v>2021</v>
      </c>
    </row>
    <row r="123" spans="2:12" ht="30">
      <c r="B123" s="167" t="s">
        <v>130</v>
      </c>
      <c r="C123" s="138">
        <f t="shared" ref="C123:L123" si="26">C60</f>
        <v>55922898</v>
      </c>
      <c r="D123" s="138">
        <f t="shared" si="26"/>
        <v>54521860</v>
      </c>
      <c r="E123" s="138">
        <f t="shared" si="26"/>
        <v>53120822</v>
      </c>
      <c r="F123" s="138">
        <f t="shared" si="26"/>
        <v>51829784</v>
      </c>
      <c r="G123" s="138">
        <f t="shared" si="26"/>
        <v>50538746</v>
      </c>
      <c r="H123" s="138">
        <f t="shared" si="26"/>
        <v>49259708</v>
      </c>
      <c r="I123" s="138">
        <f t="shared" si="26"/>
        <v>48280185</v>
      </c>
      <c r="J123" s="138">
        <f t="shared" si="26"/>
        <v>47300662</v>
      </c>
      <c r="K123" s="138">
        <f t="shared" si="26"/>
        <v>46321139</v>
      </c>
      <c r="L123" s="138">
        <f t="shared" si="26"/>
        <v>45341616</v>
      </c>
    </row>
    <row r="124" spans="2:12">
      <c r="B124" s="167" t="s">
        <v>131</v>
      </c>
      <c r="C124" s="138">
        <f>C89</f>
        <v>1401038</v>
      </c>
      <c r="D124" s="138">
        <f t="shared" ref="D124:L124" si="27">D89</f>
        <v>1401038</v>
      </c>
      <c r="E124" s="138">
        <f t="shared" si="27"/>
        <v>1401038</v>
      </c>
      <c r="F124" s="138">
        <f t="shared" si="27"/>
        <v>1291038</v>
      </c>
      <c r="G124" s="138">
        <f t="shared" si="27"/>
        <v>1291038</v>
      </c>
      <c r="H124" s="138">
        <f t="shared" si="27"/>
        <v>1279038</v>
      </c>
      <c r="I124" s="138">
        <f t="shared" si="27"/>
        <v>979523</v>
      </c>
      <c r="J124" s="138">
        <f t="shared" si="27"/>
        <v>979523</v>
      </c>
      <c r="K124" s="138">
        <f t="shared" si="27"/>
        <v>979523</v>
      </c>
      <c r="L124" s="138">
        <f t="shared" si="27"/>
        <v>979523</v>
      </c>
    </row>
    <row r="125" spans="2:12" ht="30">
      <c r="B125" s="167" t="s">
        <v>132</v>
      </c>
      <c r="C125" s="138">
        <f>C118</f>
        <v>55922898</v>
      </c>
      <c r="D125" s="138">
        <f t="shared" ref="D125:L125" si="28">D118</f>
        <v>57323936</v>
      </c>
      <c r="E125" s="138">
        <f t="shared" si="28"/>
        <v>58724974</v>
      </c>
      <c r="F125" s="138">
        <f t="shared" si="28"/>
        <v>60113512</v>
      </c>
      <c r="G125" s="138">
        <f t="shared" si="28"/>
        <v>61402050</v>
      </c>
      <c r="H125" s="138">
        <f t="shared" si="28"/>
        <v>62678588</v>
      </c>
      <c r="I125" s="138">
        <f t="shared" si="28"/>
        <v>63655611</v>
      </c>
      <c r="J125" s="138">
        <f t="shared" si="28"/>
        <v>64632634</v>
      </c>
      <c r="K125" s="138">
        <f t="shared" si="28"/>
        <v>65609657</v>
      </c>
      <c r="L125" s="138">
        <f t="shared" si="28"/>
        <v>66586680</v>
      </c>
    </row>
    <row r="127" spans="2:12" ht="18">
      <c r="B127" s="333" t="s">
        <v>449</v>
      </c>
      <c r="C127" s="333"/>
      <c r="D127" s="333"/>
    </row>
    <row r="129" spans="2:12" ht="36">
      <c r="B129" s="106" t="s">
        <v>2</v>
      </c>
      <c r="C129" s="106" t="s">
        <v>450</v>
      </c>
      <c r="D129" s="106">
        <v>2013</v>
      </c>
      <c r="E129" s="106">
        <v>2014</v>
      </c>
      <c r="F129" s="106">
        <v>2015</v>
      </c>
      <c r="G129" s="106">
        <v>2016</v>
      </c>
      <c r="H129" s="106">
        <v>2017</v>
      </c>
      <c r="I129" s="106">
        <v>2018</v>
      </c>
      <c r="J129" s="106">
        <v>2019</v>
      </c>
      <c r="K129" s="106">
        <v>2020</v>
      </c>
      <c r="L129" s="106">
        <v>2021</v>
      </c>
    </row>
    <row r="130" spans="2:12">
      <c r="B130" s="164" t="s">
        <v>122</v>
      </c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</row>
    <row r="131" spans="2:12">
      <c r="B131" s="51" t="str">
        <f>+Parametros!$B$41</f>
        <v>Horno Rotativo</v>
      </c>
      <c r="C131" s="18">
        <f>Parametros!J41</f>
        <v>24975</v>
      </c>
      <c r="D131" s="18">
        <f>C131*(1+Variables!C$34)</f>
        <v>25224.75</v>
      </c>
      <c r="E131" s="18">
        <f>D131*(1+Variables!D$34)</f>
        <v>25527.447</v>
      </c>
      <c r="F131" s="18">
        <f>E131*(1+Variables!E$34)</f>
        <v>25859.303810999998</v>
      </c>
      <c r="G131" s="18">
        <f>F131*(1+Variables!F$34)</f>
        <v>26247.193368164997</v>
      </c>
      <c r="H131" s="18">
        <f>G131*(1+Variables!G$34)</f>
        <v>26667.148462055637</v>
      </c>
      <c r="I131" s="18">
        <f>H131*(1+Variables!H$34)</f>
        <v>27147.157134372639</v>
      </c>
      <c r="J131" s="18">
        <f>I131*(1+Variables!I$34)</f>
        <v>27662.953119925718</v>
      </c>
      <c r="K131" s="18">
        <f>J131*(1+Variables!J$34)</f>
        <v>28216.212182324234</v>
      </c>
      <c r="L131" s="18">
        <f>K131*(1+Variables!K$34)</f>
        <v>28836.968850335368</v>
      </c>
    </row>
    <row r="132" spans="2:12">
      <c r="B132" s="51" t="str">
        <f>+Parametros!$B$42</f>
        <v>Mezcladora de alta velocida</v>
      </c>
      <c r="C132" s="18">
        <f>Parametros!J42</f>
        <v>6660</v>
      </c>
      <c r="D132" s="18">
        <f>C132*(1+Variables!C$34)</f>
        <v>6726.6</v>
      </c>
      <c r="E132" s="18">
        <f>D132*(1+Variables!D$34)</f>
        <v>6807.3192000000008</v>
      </c>
      <c r="F132" s="18">
        <f>E132*(1+Variables!E$34)</f>
        <v>6895.8143496000002</v>
      </c>
      <c r="G132" s="18">
        <f>F132*(1+Variables!F$34)</f>
        <v>6999.2515648439994</v>
      </c>
      <c r="H132" s="18">
        <f>G132*(1+Variables!G$34)</f>
        <v>7111.2395898815039</v>
      </c>
      <c r="I132" s="18">
        <f>H132*(1+Variables!H$34)</f>
        <v>7239.2419024993715</v>
      </c>
      <c r="J132" s="18">
        <f>I132*(1+Variables!I$34)</f>
        <v>7376.7874986468587</v>
      </c>
      <c r="K132" s="18">
        <f>J132*(1+Variables!J$34)</f>
        <v>7524.3232486197958</v>
      </c>
      <c r="L132" s="18">
        <f>K132*(1+Variables!K$34)</f>
        <v>7689.8583600894317</v>
      </c>
    </row>
    <row r="133" spans="2:12">
      <c r="B133" s="51" t="str">
        <f>+Parametros!$B$43</f>
        <v>Laminadora</v>
      </c>
      <c r="C133" s="18">
        <f>Parametros!J43</f>
        <v>27250.5</v>
      </c>
      <c r="D133" s="18">
        <f>C133*(1+Variables!C$34)</f>
        <v>27523.005000000001</v>
      </c>
      <c r="E133" s="18">
        <f>D133*(1+Variables!D$34)</f>
        <v>27853.281060000001</v>
      </c>
      <c r="F133" s="18">
        <f>E133*(1+Variables!E$34)</f>
        <v>28215.373713779998</v>
      </c>
      <c r="G133" s="18">
        <f>F133*(1+Variables!F$34)</f>
        <v>28638.604319486694</v>
      </c>
      <c r="H133" s="18">
        <f>G133*(1+Variables!G$34)</f>
        <v>29096.821988598484</v>
      </c>
      <c r="I133" s="18">
        <f>H133*(1+Variables!H$34)</f>
        <v>29620.564784393257</v>
      </c>
      <c r="J133" s="18">
        <f>I133*(1+Variables!I$34)</f>
        <v>30183.355515296727</v>
      </c>
      <c r="K133" s="18">
        <f>J133*(1+Variables!J$34)</f>
        <v>30787.022625602662</v>
      </c>
      <c r="L133" s="18">
        <f>K133*(1+Variables!K$34)</f>
        <v>31464.33712336592</v>
      </c>
    </row>
    <row r="134" spans="2:12">
      <c r="B134" s="51" t="str">
        <f>+Parametros!$B$44</f>
        <v>Cinta transportadora</v>
      </c>
      <c r="C134" s="18">
        <f>Parametros!J44</f>
        <v>638.25</v>
      </c>
      <c r="D134" s="18">
        <f>C134*(1+Variables!C$34)</f>
        <v>644.63250000000005</v>
      </c>
      <c r="E134" s="18">
        <f>D134*(1+Variables!D$34)</f>
        <v>652.36809000000005</v>
      </c>
      <c r="F134" s="18">
        <f>E134*(1+Variables!E$34)</f>
        <v>660.84887517000004</v>
      </c>
      <c r="G134" s="18">
        <f>F134*(1+Variables!F$34)</f>
        <v>670.76160829754997</v>
      </c>
      <c r="H134" s="18">
        <f>G134*(1+Variables!G$34)</f>
        <v>681.49379403031082</v>
      </c>
      <c r="I134" s="18">
        <f>H134*(1+Variables!H$34)</f>
        <v>693.76068232285638</v>
      </c>
      <c r="J134" s="18">
        <f>I134*(1+Variables!I$34)</f>
        <v>706.94213528699061</v>
      </c>
      <c r="K134" s="18">
        <f>J134*(1+Variables!J$34)</f>
        <v>721.08097799273048</v>
      </c>
      <c r="L134" s="18">
        <f>K134*(1+Variables!K$34)</f>
        <v>736.94475950857054</v>
      </c>
    </row>
    <row r="135" spans="2:12">
      <c r="B135" s="51" t="str">
        <f>+Parametros!$B$45</f>
        <v>Apilador de Galletas</v>
      </c>
      <c r="C135" s="18">
        <f>Parametros!J45</f>
        <v>1942.5</v>
      </c>
      <c r="D135" s="18">
        <f>C135*(1+Variables!C$34)</f>
        <v>1961.925</v>
      </c>
      <c r="E135" s="18">
        <f>D135*(1+Variables!D$34)</f>
        <v>1985.4681</v>
      </c>
      <c r="F135" s="18">
        <f>E135*(1+Variables!E$34)</f>
        <v>2011.2791852999999</v>
      </c>
      <c r="G135" s="18">
        <f>F135*(1+Variables!F$34)</f>
        <v>2041.4483730794998</v>
      </c>
      <c r="H135" s="18">
        <f>G135*(1+Variables!G$34)</f>
        <v>2074.1115470487716</v>
      </c>
      <c r="I135" s="18">
        <f>H135*(1+Variables!H$34)</f>
        <v>2111.4455548956494</v>
      </c>
      <c r="J135" s="18">
        <f>I135*(1+Variables!I$34)</f>
        <v>2151.5630204386666</v>
      </c>
      <c r="K135" s="18">
        <f>J135*(1+Variables!J$34)</f>
        <v>2194.5942808474401</v>
      </c>
      <c r="L135" s="18">
        <f>K135*(1+Variables!K$34)</f>
        <v>2242.875355026084</v>
      </c>
    </row>
    <row r="136" spans="2:12">
      <c r="B136" s="51" t="str">
        <f>+Parametros!$B$46</f>
        <v>Estuchadora de Caja</v>
      </c>
      <c r="C136" s="18">
        <f>Parametros!J46</f>
        <v>11072.25</v>
      </c>
      <c r="D136" s="18">
        <f>C136*(1+Variables!C$34)</f>
        <v>11182.9725</v>
      </c>
      <c r="E136" s="18">
        <f>D136*(1+Variables!D$34)</f>
        <v>11317.168170000001</v>
      </c>
      <c r="F136" s="18">
        <f>E136*(1+Variables!E$34)</f>
        <v>11464.29135621</v>
      </c>
      <c r="G136" s="18">
        <f>F136*(1+Variables!F$34)</f>
        <v>11636.255726553149</v>
      </c>
      <c r="H136" s="18">
        <f>G136*(1+Variables!G$34)</f>
        <v>11822.435818177999</v>
      </c>
      <c r="I136" s="18">
        <f>H136*(1+Variables!H$34)</f>
        <v>12035.239662905204</v>
      </c>
      <c r="J136" s="18">
        <f>I136*(1+Variables!I$34)</f>
        <v>12263.909216500402</v>
      </c>
      <c r="K136" s="18">
        <f>J136*(1+Variables!J$34)</f>
        <v>12509.187400830411</v>
      </c>
      <c r="L136" s="18">
        <f>K136*(1+Variables!K$34)</f>
        <v>12784.389523648681</v>
      </c>
    </row>
    <row r="137" spans="2:12">
      <c r="B137" s="51" t="str">
        <f>+Parametros!$B$47</f>
        <v>Estuchadora flow pack</v>
      </c>
      <c r="C137" s="18">
        <f>Parametros!J47</f>
        <v>15068.25</v>
      </c>
      <c r="D137" s="18">
        <f>C137*(1+Variables!C$34)</f>
        <v>15218.932500000001</v>
      </c>
      <c r="E137" s="18">
        <f>D137*(1+Variables!D$34)</f>
        <v>15401.559690000002</v>
      </c>
      <c r="F137" s="18">
        <f>E137*(1+Variables!E$34)</f>
        <v>15601.779965969999</v>
      </c>
      <c r="G137" s="18">
        <f>F137*(1+Variables!F$34)</f>
        <v>15835.806665459548</v>
      </c>
      <c r="H137" s="18">
        <f>G137*(1+Variables!G$34)</f>
        <v>16089.179572106901</v>
      </c>
      <c r="I137" s="18">
        <f>H137*(1+Variables!H$34)</f>
        <v>16378.784804404826</v>
      </c>
      <c r="J137" s="18">
        <f>I137*(1+Variables!I$34)</f>
        <v>16689.981715688515</v>
      </c>
      <c r="K137" s="18">
        <f>J137*(1+Variables!J$34)</f>
        <v>17023.781350002286</v>
      </c>
      <c r="L137" s="18">
        <f>K137*(1+Variables!K$34)</f>
        <v>17398.304539702338</v>
      </c>
    </row>
    <row r="138" spans="2:12">
      <c r="B138" s="51" t="str">
        <f>+Parametros!$B$48</f>
        <v>Paletizadora</v>
      </c>
      <c r="C138" s="18">
        <f>Parametros!J48</f>
        <v>8782.875</v>
      </c>
      <c r="D138" s="18">
        <f>C138*(1+Variables!C$34)</f>
        <v>8870.7037500000006</v>
      </c>
      <c r="E138" s="18">
        <f>D138*(1+Variables!D$34)</f>
        <v>8977.1521950000006</v>
      </c>
      <c r="F138" s="18">
        <f>E138*(1+Variables!E$34)</f>
        <v>9093.8551735349993</v>
      </c>
      <c r="G138" s="18">
        <f>F138*(1+Variables!F$34)</f>
        <v>9230.2630011380243</v>
      </c>
      <c r="H138" s="18">
        <f>G138*(1+Variables!G$34)</f>
        <v>9377.9472091562329</v>
      </c>
      <c r="I138" s="18">
        <f>H138*(1+Variables!H$34)</f>
        <v>9546.7502589210453</v>
      </c>
      <c r="J138" s="18">
        <f>I138*(1+Variables!I$34)</f>
        <v>9728.138513840544</v>
      </c>
      <c r="K138" s="18">
        <f>J138*(1+Variables!J$34)</f>
        <v>9922.7012841173546</v>
      </c>
      <c r="L138" s="18">
        <f>K138*(1+Variables!K$34)</f>
        <v>10141.000712367937</v>
      </c>
    </row>
    <row r="139" spans="2:12">
      <c r="B139" s="51" t="str">
        <f>+Parametros!$B$49</f>
        <v>Carretilladora elevadora</v>
      </c>
      <c r="C139" s="18">
        <f>Parametros!J49</f>
        <v>360</v>
      </c>
      <c r="D139" s="18">
        <f>C139*(1+Variables!C$34)</f>
        <v>363.6</v>
      </c>
      <c r="E139" s="18">
        <f>D139*(1+Variables!D$34)</f>
        <v>367.96320000000003</v>
      </c>
      <c r="F139" s="18">
        <f>E139*(1+Variables!E$34)</f>
        <v>372.7467216</v>
      </c>
      <c r="G139" s="18">
        <f>F139*(1+Variables!F$34)</f>
        <v>378.33792242399994</v>
      </c>
      <c r="H139" s="18">
        <f>G139*(1+Variables!G$34)</f>
        <v>384.39132918278392</v>
      </c>
      <c r="I139" s="18">
        <f>H139*(1+Variables!H$34)</f>
        <v>391.31037310807403</v>
      </c>
      <c r="J139" s="18">
        <f>I139*(1+Variables!I$34)</f>
        <v>398.74527019712741</v>
      </c>
      <c r="K139" s="18">
        <f>J139*(1+Variables!J$34)</f>
        <v>406.72017560106997</v>
      </c>
      <c r="L139" s="18">
        <f>K139*(1+Variables!K$34)</f>
        <v>415.66801946429354</v>
      </c>
    </row>
    <row r="140" spans="2:1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12" ht="30">
      <c r="B141" s="166" t="s">
        <v>451</v>
      </c>
      <c r="C141" s="138">
        <f>SUM(C131:C139)</f>
        <v>96749.625</v>
      </c>
      <c r="D141" s="138">
        <f t="shared" ref="D141:L141" si="29">SUM(D131:D139)</f>
        <v>97717.121249999997</v>
      </c>
      <c r="E141" s="138">
        <f t="shared" si="29"/>
        <v>98889.726705000008</v>
      </c>
      <c r="F141" s="138">
        <f t="shared" si="29"/>
        <v>100175.29315216499</v>
      </c>
      <c r="G141" s="138">
        <f t="shared" si="29"/>
        <v>101677.92254944747</v>
      </c>
      <c r="H141" s="138">
        <f t="shared" si="29"/>
        <v>103304.76931023863</v>
      </c>
      <c r="I141" s="138">
        <f t="shared" si="29"/>
        <v>105164.25515782293</v>
      </c>
      <c r="J141" s="138">
        <f t="shared" si="29"/>
        <v>107162.37600582156</v>
      </c>
      <c r="K141" s="138">
        <f t="shared" si="29"/>
        <v>109305.623525938</v>
      </c>
      <c r="L141" s="138">
        <f t="shared" si="29"/>
        <v>111710.34724350863</v>
      </c>
    </row>
  </sheetData>
  <mergeCells count="6">
    <mergeCell ref="B127:D127"/>
    <mergeCell ref="B4:D4"/>
    <mergeCell ref="B33:D33"/>
    <mergeCell ref="B62:D62"/>
    <mergeCell ref="B91:D91"/>
    <mergeCell ref="B120:D120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workbookViewId="0">
      <selection activeCell="H11" sqref="H11"/>
    </sheetView>
  </sheetViews>
  <sheetFormatPr baseColWidth="10" defaultRowHeight="15" x14ac:dyDescent="0"/>
  <cols>
    <col min="2" max="2" width="29.1640625" customWidth="1"/>
    <col min="3" max="3" width="23.5" customWidth="1"/>
  </cols>
  <sheetData>
    <row r="2" spans="2:12" ht="18">
      <c r="B2" s="28" t="s">
        <v>517</v>
      </c>
    </row>
    <row r="4" spans="2:12" ht="18">
      <c r="B4" s="25" t="s">
        <v>348</v>
      </c>
    </row>
    <row r="6" spans="2:12" ht="18">
      <c r="B6" s="106" t="s">
        <v>158</v>
      </c>
      <c r="C6" s="106" t="s">
        <v>336</v>
      </c>
      <c r="D6" s="106">
        <f t="shared" ref="D6:L6" si="0">D17</f>
        <v>2013</v>
      </c>
      <c r="E6" s="106">
        <f t="shared" si="0"/>
        <v>2014</v>
      </c>
      <c r="F6" s="106">
        <f t="shared" si="0"/>
        <v>2015</v>
      </c>
      <c r="G6" s="106">
        <f t="shared" si="0"/>
        <v>2016</v>
      </c>
      <c r="H6" s="106">
        <f t="shared" si="0"/>
        <v>2017</v>
      </c>
      <c r="I6" s="106">
        <f t="shared" si="0"/>
        <v>2018</v>
      </c>
      <c r="J6" s="106">
        <f t="shared" si="0"/>
        <v>2019</v>
      </c>
      <c r="K6" s="106">
        <f t="shared" si="0"/>
        <v>2020</v>
      </c>
      <c r="L6" s="106">
        <f t="shared" si="0"/>
        <v>2021</v>
      </c>
    </row>
    <row r="7" spans="2:12">
      <c r="B7" s="23" t="s">
        <v>229</v>
      </c>
      <c r="C7" s="16" t="s">
        <v>337</v>
      </c>
      <c r="D7" s="18">
        <f>'Personal y Servicios'!C38</f>
        <v>0</v>
      </c>
      <c r="E7" s="18">
        <f>'Personal y Servicios'!D38</f>
        <v>0</v>
      </c>
      <c r="F7" s="18">
        <f>'Personal y Servicios'!E38</f>
        <v>0</v>
      </c>
      <c r="G7" s="18">
        <f>'Personal y Servicios'!F38</f>
        <v>0</v>
      </c>
      <c r="H7" s="18">
        <f>'Personal y Servicios'!G38</f>
        <v>0</v>
      </c>
      <c r="I7" s="18">
        <f>'Personal y Servicios'!H38</f>
        <v>0</v>
      </c>
      <c r="J7" s="18">
        <f>'Personal y Servicios'!I38</f>
        <v>0</v>
      </c>
      <c r="K7" s="18">
        <f>'Personal y Servicios'!J38</f>
        <v>0</v>
      </c>
      <c r="L7" s="18">
        <f>'Personal y Servicios'!K38</f>
        <v>0</v>
      </c>
    </row>
    <row r="8" spans="2:12">
      <c r="B8" s="23" t="s">
        <v>338</v>
      </c>
      <c r="C8" s="16" t="s">
        <v>337</v>
      </c>
      <c r="D8" s="18">
        <f>'Activos fijos'!D141</f>
        <v>97717.121249999997</v>
      </c>
      <c r="E8" s="18">
        <f>'Activos fijos'!E141</f>
        <v>98889.726705000008</v>
      </c>
      <c r="F8" s="18">
        <f>'Activos fijos'!F141</f>
        <v>100175.29315216499</v>
      </c>
      <c r="G8" s="18">
        <f>'Activos fijos'!G141</f>
        <v>101677.92254944747</v>
      </c>
      <c r="H8" s="18">
        <f>'Activos fijos'!H141</f>
        <v>103304.76931023863</v>
      </c>
      <c r="I8" s="18">
        <f>'Activos fijos'!I141</f>
        <v>105164.25515782293</v>
      </c>
      <c r="J8" s="18">
        <f>'Activos fijos'!J141</f>
        <v>107162.37600582156</v>
      </c>
      <c r="K8" s="18">
        <f>'Activos fijos'!K141</f>
        <v>109305.623525938</v>
      </c>
      <c r="L8" s="18">
        <f>'Activos fijos'!L141</f>
        <v>111710.34724350863</v>
      </c>
    </row>
    <row r="9" spans="2:12">
      <c r="B9" s="23" t="s">
        <v>339</v>
      </c>
      <c r="C9" s="16" t="s">
        <v>337</v>
      </c>
      <c r="D9" s="18">
        <f>'Activos fijos'!C89</f>
        <v>1401038</v>
      </c>
      <c r="E9" s="18">
        <f>'Activos fijos'!D89</f>
        <v>1401038</v>
      </c>
      <c r="F9" s="18">
        <f>'Activos fijos'!E89</f>
        <v>1401038</v>
      </c>
      <c r="G9" s="18">
        <f>'Activos fijos'!F89</f>
        <v>1291038</v>
      </c>
      <c r="H9" s="18">
        <f>'Activos fijos'!G89</f>
        <v>1291038</v>
      </c>
      <c r="I9" s="18">
        <f>'Activos fijos'!H89</f>
        <v>1279038</v>
      </c>
      <c r="J9" s="18">
        <f>'Activos fijos'!I89</f>
        <v>979523</v>
      </c>
      <c r="K9" s="18">
        <f>'Activos fijos'!J89</f>
        <v>979523</v>
      </c>
      <c r="L9" s="18">
        <f>'Activos fijos'!K89</f>
        <v>979523</v>
      </c>
    </row>
    <row r="10" spans="2:12">
      <c r="B10" s="23" t="s">
        <v>228</v>
      </c>
      <c r="C10" s="16" t="s">
        <v>337</v>
      </c>
      <c r="D10" s="207">
        <f>'Personal y Servicios'!C20</f>
        <v>18804180</v>
      </c>
      <c r="E10" s="207">
        <f>'Personal y Servicios'!D20</f>
        <v>18992221.800000001</v>
      </c>
      <c r="F10" s="207">
        <f>'Personal y Servicios'!E20</f>
        <v>19182144.017999999</v>
      </c>
      <c r="G10" s="207">
        <f>'Personal y Servicios'!F20</f>
        <v>19565786.898360003</v>
      </c>
      <c r="H10" s="207">
        <f>'Personal y Servicios'!G20</f>
        <v>19859273.701835398</v>
      </c>
      <c r="I10" s="207">
        <f>'Personal y Servicios'!H20</f>
        <v>20057866.438853748</v>
      </c>
      <c r="J10" s="207">
        <f>'Personal y Servicios'!I20</f>
        <v>20659602.432019364</v>
      </c>
      <c r="K10" s="207">
        <f>'Personal y Servicios'!J20</f>
        <v>20866198.456339557</v>
      </c>
      <c r="L10" s="207">
        <f>'Personal y Servicios'!K20</f>
        <v>20970529.448621251</v>
      </c>
    </row>
    <row r="13" spans="2:12" ht="18">
      <c r="B13" s="25" t="s">
        <v>349</v>
      </c>
    </row>
    <row r="15" spans="2:12">
      <c r="B15" s="193" t="s">
        <v>350</v>
      </c>
    </row>
    <row r="17" spans="2:12" ht="18">
      <c r="B17" s="335" t="s">
        <v>82</v>
      </c>
      <c r="C17" s="335"/>
      <c r="D17" s="106">
        <v>2013</v>
      </c>
      <c r="E17" s="106">
        <v>2014</v>
      </c>
      <c r="F17" s="106">
        <v>2015</v>
      </c>
      <c r="G17" s="106">
        <v>2016</v>
      </c>
      <c r="H17" s="106">
        <v>2017</v>
      </c>
      <c r="I17" s="106">
        <v>2018</v>
      </c>
      <c r="J17" s="106">
        <v>2019</v>
      </c>
      <c r="K17" s="106">
        <v>2020</v>
      </c>
      <c r="L17" s="106">
        <v>2021</v>
      </c>
    </row>
    <row r="18" spans="2:12">
      <c r="B18" s="336" t="str">
        <f>'Plan de Ventas'!B7</f>
        <v xml:space="preserve">Grissini </v>
      </c>
      <c r="C18" s="336"/>
      <c r="D18" s="18">
        <f>'Plan de producción'!D39</f>
        <v>738741.66666666663</v>
      </c>
      <c r="E18" s="18">
        <f>'Plan de producción'!E39</f>
        <v>746086.15833333333</v>
      </c>
      <c r="F18" s="18">
        <f>'Plan de producción'!F39</f>
        <v>749447.9391249998</v>
      </c>
      <c r="G18" s="18">
        <f>'Plan de producción'!G39</f>
        <v>757253.00614124991</v>
      </c>
      <c r="H18" s="18">
        <f>'Plan de producción'!H39</f>
        <v>764825.53620266228</v>
      </c>
      <c r="I18" s="18">
        <f>'Plan de producción'!I39</f>
        <v>774129.54742459685</v>
      </c>
      <c r="J18" s="18">
        <f>'Plan de producción'!J39</f>
        <v>781743.47706346528</v>
      </c>
      <c r="K18" s="18">
        <f>'Plan de producción'!K39</f>
        <v>791253.29301362881</v>
      </c>
      <c r="L18" s="18">
        <f>'Plan de producción'!L39</f>
        <v>799035.64277610905</v>
      </c>
    </row>
    <row r="19" spans="2:12">
      <c r="B19" s="336" t="str">
        <f>'Plan de Ventas'!B8</f>
        <v>Kamish</v>
      </c>
      <c r="C19" s="336"/>
      <c r="D19" s="18">
        <f>'Plan de producción'!D40</f>
        <v>631001.38888888876</v>
      </c>
      <c r="E19" s="18">
        <f>'Plan de producción'!E40</f>
        <v>637376.01666666649</v>
      </c>
      <c r="F19" s="18">
        <f>'Plan de producción'!F40</f>
        <v>643662.37405555556</v>
      </c>
      <c r="G19" s="18">
        <f>'Plan de producción'!G40</f>
        <v>650098.99779611104</v>
      </c>
      <c r="H19" s="18">
        <f>'Plan de producción'!H40</f>
        <v>657294.75483547931</v>
      </c>
      <c r="I19" s="18">
        <f>'Plan de producción'!I40</f>
        <v>667334.63513500034</v>
      </c>
      <c r="J19" s="18">
        <f>'Plan de producción'!J40</f>
        <v>674492.87209574948</v>
      </c>
      <c r="K19" s="18">
        <f>'Plan de producción'!K40</f>
        <v>681191.5056451764</v>
      </c>
      <c r="L19" s="18">
        <f>'Plan de producción'!L40</f>
        <v>688003.42070162832</v>
      </c>
    </row>
    <row r="20" spans="2:12">
      <c r="B20" s="336" t="str">
        <f>'Plan de Ventas'!B9</f>
        <v>Roscas con pisco</v>
      </c>
      <c r="C20" s="336"/>
      <c r="D20" s="18">
        <f>'Plan de producción'!D41</f>
        <v>505055.5555555555</v>
      </c>
      <c r="E20" s="18">
        <f>'Plan de producción'!E41</f>
        <v>510863.61111111112</v>
      </c>
      <c r="F20" s="18">
        <f>'Plan de producción'!F41</f>
        <v>517560.94916666654</v>
      </c>
      <c r="G20" s="18">
        <f>'Plan de producción'!G41</f>
        <v>524562.20406374987</v>
      </c>
      <c r="H20" s="18">
        <f>'Plan de producción'!H41</f>
        <v>530813.85116126505</v>
      </c>
      <c r="I20" s="18">
        <f>'Plan de producción'!I41</f>
        <v>536063.7480828882</v>
      </c>
      <c r="J20" s="18">
        <f>'Plan de producción'!J41</f>
        <v>541424.38556371734</v>
      </c>
      <c r="K20" s="18">
        <f>'Plan de producción'!K41</f>
        <v>547981.00808444177</v>
      </c>
      <c r="L20" s="18">
        <f>'Plan de producción'!L41</f>
        <v>553978.73657692084</v>
      </c>
    </row>
    <row r="22" spans="2:12">
      <c r="B22" s="193" t="s">
        <v>351</v>
      </c>
    </row>
    <row r="24" spans="2:12" ht="18">
      <c r="B24" s="335" t="str">
        <f>B17</f>
        <v>Producto</v>
      </c>
      <c r="C24" s="335"/>
      <c r="D24" s="106">
        <f t="shared" ref="D24:L24" si="1">D17</f>
        <v>2013</v>
      </c>
      <c r="E24" s="106">
        <f t="shared" si="1"/>
        <v>2014</v>
      </c>
      <c r="F24" s="106">
        <f t="shared" si="1"/>
        <v>2015</v>
      </c>
      <c r="G24" s="106">
        <f t="shared" si="1"/>
        <v>2016</v>
      </c>
      <c r="H24" s="106">
        <f t="shared" si="1"/>
        <v>2017</v>
      </c>
      <c r="I24" s="106">
        <f t="shared" si="1"/>
        <v>2018</v>
      </c>
      <c r="J24" s="106">
        <f t="shared" si="1"/>
        <v>2019</v>
      </c>
      <c r="K24" s="106">
        <f t="shared" si="1"/>
        <v>2020</v>
      </c>
      <c r="L24" s="106">
        <f t="shared" si="1"/>
        <v>2021</v>
      </c>
    </row>
    <row r="25" spans="2:12">
      <c r="B25" s="336" t="str">
        <f t="shared" ref="B25:B26" si="2">B18</f>
        <v xml:space="preserve">Grissini </v>
      </c>
      <c r="C25" s="336"/>
      <c r="D25" s="190">
        <f t="shared" ref="D25:L25" si="3">D18/SUM(D$18:D$20)</f>
        <v>0.39403787814246716</v>
      </c>
      <c r="E25" s="190">
        <f t="shared" si="3"/>
        <v>0.39385313962546248</v>
      </c>
      <c r="F25" s="190">
        <f t="shared" si="3"/>
        <v>0.39224326753327404</v>
      </c>
      <c r="G25" s="190">
        <f t="shared" si="3"/>
        <v>0.39197030748314399</v>
      </c>
      <c r="H25" s="190">
        <f t="shared" si="3"/>
        <v>0.39162894420049976</v>
      </c>
      <c r="I25" s="190">
        <f t="shared" si="3"/>
        <v>0.39146326857344932</v>
      </c>
      <c r="J25" s="190">
        <f t="shared" si="3"/>
        <v>0.39132945022914023</v>
      </c>
      <c r="K25" s="190">
        <f t="shared" si="3"/>
        <v>0.39162699782035609</v>
      </c>
      <c r="L25" s="190">
        <f t="shared" si="3"/>
        <v>0.39148881639087663</v>
      </c>
    </row>
    <row r="26" spans="2:12">
      <c r="B26" s="336" t="str">
        <f t="shared" si="2"/>
        <v>Kamish</v>
      </c>
      <c r="C26" s="336"/>
      <c r="D26" s="190">
        <f t="shared" ref="D26:L26" si="4">D19/SUM(D$18:D$20)</f>
        <v>0.33657022420926686</v>
      </c>
      <c r="E26" s="190">
        <f t="shared" si="4"/>
        <v>0.33646589268847205</v>
      </c>
      <c r="F26" s="190">
        <f t="shared" si="4"/>
        <v>0.33687761298342295</v>
      </c>
      <c r="G26" s="190">
        <f t="shared" si="4"/>
        <v>0.33650510726806421</v>
      </c>
      <c r="H26" s="190">
        <f t="shared" si="4"/>
        <v>0.3365678036102282</v>
      </c>
      <c r="I26" s="190">
        <f t="shared" si="4"/>
        <v>0.33745901880545764</v>
      </c>
      <c r="J26" s="190">
        <f t="shared" si="4"/>
        <v>0.33764135239375326</v>
      </c>
      <c r="K26" s="190">
        <f t="shared" si="4"/>
        <v>0.33715244745522166</v>
      </c>
      <c r="L26" s="190">
        <f t="shared" si="4"/>
        <v>0.33708839809393315</v>
      </c>
    </row>
    <row r="27" spans="2:12">
      <c r="B27" s="336" t="str">
        <f>B20</f>
        <v>Roscas con pisco</v>
      </c>
      <c r="C27" s="336"/>
      <c r="D27" s="190">
        <f t="shared" ref="D27:L27" si="5">D20/SUM(D$18:D$20)</f>
        <v>0.26939189764826593</v>
      </c>
      <c r="E27" s="190">
        <f t="shared" si="5"/>
        <v>0.26968096768606553</v>
      </c>
      <c r="F27" s="190">
        <f t="shared" si="5"/>
        <v>0.27087911948330301</v>
      </c>
      <c r="G27" s="190">
        <f t="shared" si="5"/>
        <v>0.27152458524879192</v>
      </c>
      <c r="H27" s="190">
        <f t="shared" si="5"/>
        <v>0.27180325218927209</v>
      </c>
      <c r="I27" s="190">
        <f t="shared" si="5"/>
        <v>0.27107771262109287</v>
      </c>
      <c r="J27" s="190">
        <f t="shared" si="5"/>
        <v>0.27102919737710662</v>
      </c>
      <c r="K27" s="190">
        <f t="shared" si="5"/>
        <v>0.27122055472442225</v>
      </c>
      <c r="L27" s="190">
        <f t="shared" si="5"/>
        <v>0.27142278551519017</v>
      </c>
    </row>
    <row r="28" spans="2:12">
      <c r="C28" s="177"/>
      <c r="D28" s="177"/>
      <c r="E28" s="177"/>
      <c r="F28" s="177"/>
      <c r="G28" s="177"/>
      <c r="H28" s="177"/>
      <c r="I28" s="177"/>
      <c r="J28" s="177"/>
      <c r="K28" s="177"/>
    </row>
    <row r="30" spans="2:12" ht="18">
      <c r="B30" s="25" t="s">
        <v>340</v>
      </c>
    </row>
    <row r="32" spans="2:12">
      <c r="B32" s="66" t="str">
        <f>B25</f>
        <v xml:space="preserve">Grissini </v>
      </c>
    </row>
    <row r="33" spans="1:12" ht="18">
      <c r="A33" s="66" t="s">
        <v>341</v>
      </c>
      <c r="B33" s="335" t="s">
        <v>342</v>
      </c>
      <c r="C33" s="335"/>
      <c r="D33" s="106">
        <f t="shared" ref="D33:L33" si="6">D24</f>
        <v>2013</v>
      </c>
      <c r="E33" s="106">
        <f t="shared" si="6"/>
        <v>2014</v>
      </c>
      <c r="F33" s="106">
        <f t="shared" si="6"/>
        <v>2015</v>
      </c>
      <c r="G33" s="106">
        <f t="shared" si="6"/>
        <v>2016</v>
      </c>
      <c r="H33" s="106">
        <f t="shared" si="6"/>
        <v>2017</v>
      </c>
      <c r="I33" s="106">
        <f t="shared" si="6"/>
        <v>2018</v>
      </c>
      <c r="J33" s="106">
        <f t="shared" si="6"/>
        <v>2019</v>
      </c>
      <c r="K33" s="106">
        <f t="shared" si="6"/>
        <v>2020</v>
      </c>
      <c r="L33" s="106">
        <f t="shared" si="6"/>
        <v>2021</v>
      </c>
    </row>
    <row r="34" spans="1:12">
      <c r="B34" s="336" t="str">
        <f>B7</f>
        <v>Servicios</v>
      </c>
      <c r="C34" s="336"/>
      <c r="D34" s="18">
        <f t="shared" ref="D34:L34" si="7">D$25*D7</f>
        <v>0</v>
      </c>
      <c r="E34" s="18">
        <f t="shared" si="7"/>
        <v>0</v>
      </c>
      <c r="F34" s="18">
        <f t="shared" si="7"/>
        <v>0</v>
      </c>
      <c r="G34" s="18">
        <f t="shared" si="7"/>
        <v>0</v>
      </c>
      <c r="H34" s="18">
        <f t="shared" si="7"/>
        <v>0</v>
      </c>
      <c r="I34" s="18">
        <f t="shared" si="7"/>
        <v>0</v>
      </c>
      <c r="J34" s="18">
        <f t="shared" si="7"/>
        <v>0</v>
      </c>
      <c r="K34" s="18">
        <f t="shared" si="7"/>
        <v>0</v>
      </c>
      <c r="L34" s="18">
        <f t="shared" si="7"/>
        <v>0</v>
      </c>
    </row>
    <row r="35" spans="1:12">
      <c r="B35" s="336" t="str">
        <f>B8</f>
        <v>Respuestos y Mantenimiento</v>
      </c>
      <c r="C35" s="336"/>
      <c r="D35" s="18">
        <f t="shared" ref="D35:L35" si="8">D$25*D8</f>
        <v>38504.247115540187</v>
      </c>
      <c r="E35" s="18">
        <f t="shared" si="8"/>
        <v>38948.029339468194</v>
      </c>
      <c r="F35" s="18">
        <f t="shared" si="8"/>
        <v>39293.084312108804</v>
      </c>
      <c r="G35" s="18">
        <f t="shared" si="8"/>
        <v>39854.726565954224</v>
      </c>
      <c r="H35" s="18">
        <f t="shared" si="8"/>
        <v>40457.137735844946</v>
      </c>
      <c r="I35" s="18">
        <f t="shared" si="8"/>
        <v>41167.943061173588</v>
      </c>
      <c r="J35" s="18">
        <f t="shared" si="8"/>
        <v>41935.793687606558</v>
      </c>
      <c r="K35" s="18">
        <f t="shared" si="8"/>
        <v>42807.033186345187</v>
      </c>
      <c r="L35" s="18">
        <f t="shared" si="8"/>
        <v>43733.351620975023</v>
      </c>
    </row>
    <row r="36" spans="1:12">
      <c r="B36" s="336" t="str">
        <f>B9</f>
        <v>Depreciación de maquinaria</v>
      </c>
      <c r="C36" s="336"/>
      <c r="D36" s="18">
        <f t="shared" ref="D36:L36" si="9">D$25*D9</f>
        <v>552062.04071696592</v>
      </c>
      <c r="E36" s="18">
        <f t="shared" si="9"/>
        <v>551803.21503457869</v>
      </c>
      <c r="F36" s="18">
        <f t="shared" si="9"/>
        <v>549547.72305828321</v>
      </c>
      <c r="G36" s="18">
        <f t="shared" si="9"/>
        <v>506048.56183242326</v>
      </c>
      <c r="H36" s="18">
        <f t="shared" si="9"/>
        <v>505607.84886272479</v>
      </c>
      <c r="I36" s="18">
        <f t="shared" si="9"/>
        <v>500696.39610964747</v>
      </c>
      <c r="J36" s="18">
        <f t="shared" si="9"/>
        <v>383316.19707679813</v>
      </c>
      <c r="K36" s="18">
        <f t="shared" si="9"/>
        <v>383607.65178598865</v>
      </c>
      <c r="L36" s="18">
        <f t="shared" si="9"/>
        <v>383472.29989764065</v>
      </c>
    </row>
    <row r="37" spans="1:12">
      <c r="B37" s="336" t="str">
        <f>B10</f>
        <v>MO Indirecta</v>
      </c>
      <c r="C37" s="336"/>
      <c r="D37" s="18">
        <f t="shared" ref="D37:L37" si="10">D$25*D10</f>
        <v>7409559.1874090182</v>
      </c>
      <c r="E37" s="18">
        <f t="shared" si="10"/>
        <v>7480146.1843931526</v>
      </c>
      <c r="F37" s="18">
        <f t="shared" si="10"/>
        <v>7524066.8479141658</v>
      </c>
      <c r="G37" s="18">
        <f t="shared" si="10"/>
        <v>7669207.5066998405</v>
      </c>
      <c r="H37" s="18">
        <f t="shared" si="10"/>
        <v>7777466.3924385477</v>
      </c>
      <c r="I37" s="18">
        <f t="shared" si="10"/>
        <v>7851917.9567633802</v>
      </c>
      <c r="J37" s="18">
        <f t="shared" si="10"/>
        <v>8084710.8616747465</v>
      </c>
      <c r="K37" s="18">
        <f t="shared" si="10"/>
        <v>8171766.6573800091</v>
      </c>
      <c r="L37" s="18">
        <f t="shared" si="10"/>
        <v>8209727.7529307557</v>
      </c>
    </row>
    <row r="40" spans="1:12">
      <c r="B40" s="66" t="str">
        <f>B19</f>
        <v>Kamish</v>
      </c>
    </row>
    <row r="41" spans="1:12" ht="18">
      <c r="A41" s="66" t="s">
        <v>343</v>
      </c>
      <c r="B41" s="335" t="str">
        <f t="shared" ref="B41" si="11">B33</f>
        <v>Categoría</v>
      </c>
      <c r="C41" s="335"/>
      <c r="D41" s="106">
        <f t="shared" ref="D41:L41" si="12">D33</f>
        <v>2013</v>
      </c>
      <c r="E41" s="106">
        <f t="shared" si="12"/>
        <v>2014</v>
      </c>
      <c r="F41" s="106">
        <f t="shared" si="12"/>
        <v>2015</v>
      </c>
      <c r="G41" s="106">
        <f t="shared" si="12"/>
        <v>2016</v>
      </c>
      <c r="H41" s="106">
        <f t="shared" si="12"/>
        <v>2017</v>
      </c>
      <c r="I41" s="106">
        <f t="shared" si="12"/>
        <v>2018</v>
      </c>
      <c r="J41" s="106">
        <f t="shared" si="12"/>
        <v>2019</v>
      </c>
      <c r="K41" s="106">
        <f t="shared" si="12"/>
        <v>2020</v>
      </c>
      <c r="L41" s="106">
        <f t="shared" si="12"/>
        <v>2021</v>
      </c>
    </row>
    <row r="42" spans="1:12">
      <c r="B42" s="336" t="str">
        <f>B34</f>
        <v>Servicios</v>
      </c>
      <c r="C42" s="336"/>
      <c r="D42" s="18">
        <f t="shared" ref="D42:L42" si="13">D$26*D7</f>
        <v>0</v>
      </c>
      <c r="E42" s="18">
        <f t="shared" si="13"/>
        <v>0</v>
      </c>
      <c r="F42" s="18">
        <f t="shared" si="13"/>
        <v>0</v>
      </c>
      <c r="G42" s="18">
        <f t="shared" si="13"/>
        <v>0</v>
      </c>
      <c r="H42" s="18">
        <f t="shared" si="13"/>
        <v>0</v>
      </c>
      <c r="I42" s="18">
        <f t="shared" si="13"/>
        <v>0</v>
      </c>
      <c r="J42" s="18">
        <f t="shared" si="13"/>
        <v>0</v>
      </c>
      <c r="K42" s="18">
        <f t="shared" si="13"/>
        <v>0</v>
      </c>
      <c r="L42" s="18">
        <f t="shared" si="13"/>
        <v>0</v>
      </c>
    </row>
    <row r="43" spans="1:12">
      <c r="B43" s="336" t="str">
        <f>B35</f>
        <v>Respuestos y Mantenimiento</v>
      </c>
      <c r="C43" s="336"/>
      <c r="D43" s="18">
        <f t="shared" ref="D43:L43" si="14">D$26*D8</f>
        <v>32888.673408196613</v>
      </c>
      <c r="E43" s="18">
        <f t="shared" si="14"/>
        <v>33273.020173516859</v>
      </c>
      <c r="F43" s="18">
        <f t="shared" si="14"/>
        <v>33746.813637015977</v>
      </c>
      <c r="G43" s="18">
        <f t="shared" si="14"/>
        <v>34215.140234295744</v>
      </c>
      <c r="H43" s="18">
        <f t="shared" si="14"/>
        <v>34769.059309208322</v>
      </c>
      <c r="I43" s="18">
        <f t="shared" si="14"/>
        <v>35488.626358965717</v>
      </c>
      <c r="J43" s="18">
        <f t="shared" si="14"/>
        <v>36182.449560333487</v>
      </c>
      <c r="K43" s="18">
        <f t="shared" si="14"/>
        <v>36852.658492389055</v>
      </c>
      <c r="L43" s="18">
        <f t="shared" si="14"/>
        <v>37656.262002831347</v>
      </c>
    </row>
    <row r="44" spans="1:12">
      <c r="B44" s="336" t="str">
        <f>B36</f>
        <v>Depreciación de maquinaria</v>
      </c>
      <c r="C44" s="336"/>
      <c r="D44" s="18">
        <f t="shared" ref="D44:L44" si="15">D$26*D9</f>
        <v>471547.67378570279</v>
      </c>
      <c r="E44" s="18">
        <f t="shared" si="15"/>
        <v>471401.50136047148</v>
      </c>
      <c r="F44" s="18">
        <f t="shared" si="15"/>
        <v>471978.33713906893</v>
      </c>
      <c r="G44" s="18">
        <f t="shared" si="15"/>
        <v>434440.88067714707</v>
      </c>
      <c r="H44" s="18">
        <f t="shared" si="15"/>
        <v>434521.82403734181</v>
      </c>
      <c r="I44" s="18">
        <f t="shared" si="15"/>
        <v>431622.90849489492</v>
      </c>
      <c r="J44" s="18">
        <f t="shared" si="15"/>
        <v>330727.47042078635</v>
      </c>
      <c r="K44" s="18">
        <f t="shared" si="15"/>
        <v>330248.57678868109</v>
      </c>
      <c r="L44" s="18">
        <f t="shared" si="15"/>
        <v>330185.83896616369</v>
      </c>
    </row>
    <row r="45" spans="1:12">
      <c r="B45" s="336" t="str">
        <f>B37</f>
        <v>MO Indirecta</v>
      </c>
      <c r="C45" s="336"/>
      <c r="D45" s="18">
        <f t="shared" ref="D45:L45" si="16">D$26*D10</f>
        <v>6328927.0786714116</v>
      </c>
      <c r="E45" s="18">
        <f t="shared" si="16"/>
        <v>6390234.8620744599</v>
      </c>
      <c r="F45" s="18">
        <f t="shared" si="16"/>
        <v>6462034.8886880856</v>
      </c>
      <c r="G45" s="18">
        <f t="shared" si="16"/>
        <v>6583987.2190167177</v>
      </c>
      <c r="H45" s="18">
        <f t="shared" si="16"/>
        <v>6683992.1311211055</v>
      </c>
      <c r="I45" s="18">
        <f t="shared" si="16"/>
        <v>6768707.9277865048</v>
      </c>
      <c r="J45" s="18">
        <f t="shared" si="16"/>
        <v>6975536.1050642915</v>
      </c>
      <c r="K45" s="18">
        <f t="shared" si="16"/>
        <v>7035089.8786412496</v>
      </c>
      <c r="L45" s="18">
        <f t="shared" si="16"/>
        <v>7068922.1790173883</v>
      </c>
    </row>
    <row r="48" spans="1:12">
      <c r="B48" s="66" t="str">
        <f>B27</f>
        <v>Roscas con pisco</v>
      </c>
    </row>
    <row r="49" spans="1:12" ht="18">
      <c r="A49" s="66" t="s">
        <v>344</v>
      </c>
      <c r="B49" s="335" t="str">
        <f t="shared" ref="B49" si="17">B41</f>
        <v>Categoría</v>
      </c>
      <c r="C49" s="335"/>
      <c r="D49" s="106">
        <f t="shared" ref="D49:L49" si="18">D41</f>
        <v>2013</v>
      </c>
      <c r="E49" s="106">
        <f t="shared" si="18"/>
        <v>2014</v>
      </c>
      <c r="F49" s="106">
        <f t="shared" si="18"/>
        <v>2015</v>
      </c>
      <c r="G49" s="106">
        <f t="shared" si="18"/>
        <v>2016</v>
      </c>
      <c r="H49" s="106">
        <f t="shared" si="18"/>
        <v>2017</v>
      </c>
      <c r="I49" s="106">
        <f t="shared" si="18"/>
        <v>2018</v>
      </c>
      <c r="J49" s="106">
        <f t="shared" si="18"/>
        <v>2019</v>
      </c>
      <c r="K49" s="106">
        <f t="shared" si="18"/>
        <v>2020</v>
      </c>
      <c r="L49" s="106">
        <f t="shared" si="18"/>
        <v>2021</v>
      </c>
    </row>
    <row r="50" spans="1:12">
      <c r="B50" s="336" t="str">
        <f>B42</f>
        <v>Servicios</v>
      </c>
      <c r="C50" s="336"/>
      <c r="D50" s="18">
        <f t="shared" ref="D50:L50" si="19">D$27*D7</f>
        <v>0</v>
      </c>
      <c r="E50" s="18">
        <f t="shared" si="19"/>
        <v>0</v>
      </c>
      <c r="F50" s="18">
        <f t="shared" si="19"/>
        <v>0</v>
      </c>
      <c r="G50" s="18">
        <f t="shared" si="19"/>
        <v>0</v>
      </c>
      <c r="H50" s="18">
        <f t="shared" si="19"/>
        <v>0</v>
      </c>
      <c r="I50" s="18">
        <f t="shared" si="19"/>
        <v>0</v>
      </c>
      <c r="J50" s="18">
        <f t="shared" si="19"/>
        <v>0</v>
      </c>
      <c r="K50" s="18">
        <f t="shared" si="19"/>
        <v>0</v>
      </c>
      <c r="L50" s="18">
        <f t="shared" si="19"/>
        <v>0</v>
      </c>
    </row>
    <row r="51" spans="1:12">
      <c r="B51" s="336" t="str">
        <f t="shared" ref="B51:B53" si="20">B43</f>
        <v>Respuestos y Mantenimiento</v>
      </c>
      <c r="C51" s="336"/>
      <c r="D51" s="18">
        <f t="shared" ref="D51:L51" si="21">D$27*D8</f>
        <v>26324.200726263192</v>
      </c>
      <c r="E51" s="18">
        <f t="shared" si="21"/>
        <v>26668.677192014959</v>
      </c>
      <c r="F51" s="18">
        <f t="shared" si="21"/>
        <v>27135.395203040207</v>
      </c>
      <c r="G51" s="18">
        <f t="shared" si="21"/>
        <v>27608.055749197512</v>
      </c>
      <c r="H51" s="18">
        <f t="shared" si="21"/>
        <v>28078.572265185365</v>
      </c>
      <c r="I51" s="18">
        <f t="shared" si="21"/>
        <v>28507.685737683609</v>
      </c>
      <c r="J51" s="18">
        <f t="shared" si="21"/>
        <v>29044.132757881525</v>
      </c>
      <c r="K51" s="18">
        <f t="shared" si="21"/>
        <v>29645.931847203763</v>
      </c>
      <c r="L51" s="18">
        <f t="shared" si="21"/>
        <v>30320.73361970226</v>
      </c>
    </row>
    <row r="52" spans="1:12">
      <c r="B52" s="336" t="str">
        <f t="shared" si="20"/>
        <v>Depreciación de maquinaria</v>
      </c>
      <c r="C52" s="336"/>
      <c r="D52" s="18">
        <f t="shared" ref="D52:L52" si="22">D$27*D9</f>
        <v>377428.28549733118</v>
      </c>
      <c r="E52" s="18">
        <f t="shared" si="22"/>
        <v>377833.28360494989</v>
      </c>
      <c r="F52" s="18">
        <f t="shared" si="22"/>
        <v>379511.93980264786</v>
      </c>
      <c r="G52" s="18">
        <f t="shared" si="22"/>
        <v>350548.55749042984</v>
      </c>
      <c r="H52" s="18">
        <f t="shared" si="22"/>
        <v>350908.32709993346</v>
      </c>
      <c r="I52" s="18">
        <f t="shared" si="22"/>
        <v>346718.69539545738</v>
      </c>
      <c r="J52" s="18">
        <f t="shared" si="22"/>
        <v>265479.33250241564</v>
      </c>
      <c r="K52" s="18">
        <f t="shared" si="22"/>
        <v>265666.77142533025</v>
      </c>
      <c r="L52" s="18">
        <f t="shared" si="22"/>
        <v>265864.8611361956</v>
      </c>
    </row>
    <row r="53" spans="1:12">
      <c r="B53" s="336" t="str">
        <f t="shared" si="20"/>
        <v>MO Indirecta</v>
      </c>
      <c r="C53" s="336"/>
      <c r="D53" s="18">
        <f t="shared" ref="D53:L53" si="23">D$27*D10</f>
        <v>5065693.7339195693</v>
      </c>
      <c r="E53" s="18">
        <f t="shared" si="23"/>
        <v>5121840.7535323892</v>
      </c>
      <c r="F53" s="18">
        <f t="shared" si="23"/>
        <v>5196042.2813977478</v>
      </c>
      <c r="G53" s="18">
        <f t="shared" si="23"/>
        <v>5312592.1726434464</v>
      </c>
      <c r="H53" s="18">
        <f t="shared" si="23"/>
        <v>5397815.1782757454</v>
      </c>
      <c r="I53" s="18">
        <f t="shared" si="23"/>
        <v>5437240.5543038594</v>
      </c>
      <c r="J53" s="18">
        <f t="shared" si="23"/>
        <v>5599355.4652803279</v>
      </c>
      <c r="K53" s="18">
        <f t="shared" si="23"/>
        <v>5659341.920318298</v>
      </c>
      <c r="L53" s="18">
        <f t="shared" si="23"/>
        <v>5691879.5166731048</v>
      </c>
    </row>
  </sheetData>
  <mergeCells count="23">
    <mergeCell ref="B25:C25"/>
    <mergeCell ref="B17:C17"/>
    <mergeCell ref="B18:C18"/>
    <mergeCell ref="B19:C19"/>
    <mergeCell ref="B20:C20"/>
    <mergeCell ref="B24:C24"/>
    <mergeCell ref="B45:C45"/>
    <mergeCell ref="B26:C26"/>
    <mergeCell ref="B27:C27"/>
    <mergeCell ref="B33:C33"/>
    <mergeCell ref="B34:C34"/>
    <mergeCell ref="B35:C35"/>
    <mergeCell ref="B36:C36"/>
    <mergeCell ref="B37:C37"/>
    <mergeCell ref="B41:C41"/>
    <mergeCell ref="B42:C42"/>
    <mergeCell ref="B43:C43"/>
    <mergeCell ref="B44:C44"/>
    <mergeCell ref="B49:C49"/>
    <mergeCell ref="B50:C50"/>
    <mergeCell ref="B51:C51"/>
    <mergeCell ref="B52:C52"/>
    <mergeCell ref="B53:C5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opLeftCell="A25" workbookViewId="0">
      <selection activeCell="C38" sqref="C38"/>
    </sheetView>
  </sheetViews>
  <sheetFormatPr baseColWidth="10" defaultRowHeight="15" x14ac:dyDescent="0"/>
  <cols>
    <col min="2" max="2" width="18.6640625" customWidth="1"/>
    <col min="4" max="12" width="13.83203125" customWidth="1"/>
  </cols>
  <sheetData>
    <row r="2" spans="2:13" ht="20">
      <c r="B2" s="28" t="s">
        <v>519</v>
      </c>
      <c r="C2" s="37"/>
      <c r="D2" s="36"/>
      <c r="E2" s="37"/>
      <c r="F2" s="37"/>
      <c r="G2" s="37"/>
      <c r="H2" s="37"/>
      <c r="I2" s="37"/>
      <c r="J2" s="37"/>
      <c r="K2" s="37"/>
      <c r="L2" s="37"/>
      <c r="M2" s="37"/>
    </row>
    <row r="3" spans="2:13" ht="20">
      <c r="B3" s="37"/>
      <c r="C3" s="38"/>
      <c r="D3" s="38"/>
      <c r="E3" s="37"/>
      <c r="F3" s="37"/>
      <c r="G3" s="37"/>
      <c r="H3" s="37"/>
      <c r="I3" s="37"/>
      <c r="J3" s="37"/>
      <c r="K3" s="37"/>
      <c r="L3" s="37"/>
      <c r="M3" s="37"/>
    </row>
    <row r="4" spans="2:13" ht="18">
      <c r="B4" s="40" t="s">
        <v>94</v>
      </c>
      <c r="C4" s="106" t="str">
        <f>Parametros!B7</f>
        <v xml:space="preserve">Grissini 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  <c r="M4" s="37"/>
    </row>
    <row r="5" spans="2:13">
      <c r="B5" s="37"/>
      <c r="C5" s="41" t="s">
        <v>95</v>
      </c>
      <c r="D5" s="42">
        <f>Parametros!F13</f>
        <v>6000000</v>
      </c>
      <c r="E5" s="42">
        <f>D8</f>
        <v>5588983.762049295</v>
      </c>
      <c r="F5" s="42">
        <f t="shared" ref="F5:L5" si="0">E8</f>
        <v>5617247.3550644666</v>
      </c>
      <c r="G5" s="42">
        <f t="shared" si="0"/>
        <v>5657495.7596561462</v>
      </c>
      <c r="H5" s="42">
        <f t="shared" si="0"/>
        <v>5743077.7036873996</v>
      </c>
      <c r="I5" s="42">
        <f t="shared" si="0"/>
        <v>5833305.5192159414</v>
      </c>
      <c r="J5" s="42">
        <f t="shared" si="0"/>
        <v>5940120.7625209689</v>
      </c>
      <c r="K5" s="42">
        <f t="shared" si="0"/>
        <v>6037487.9575345814</v>
      </c>
      <c r="L5" s="42">
        <f t="shared" si="0"/>
        <v>6138272.674176231</v>
      </c>
      <c r="M5" s="37"/>
    </row>
    <row r="6" spans="2:13">
      <c r="B6" s="37"/>
      <c r="C6" s="41" t="s">
        <v>96</v>
      </c>
      <c r="D6" s="42">
        <f>'Costo unitario de produccion'!D28</f>
        <v>66656788.90664085</v>
      </c>
      <c r="E6" s="42">
        <f>'Costo unitario de produccion'!E28</f>
        <v>67435231.853788748</v>
      </c>
      <c r="F6" s="42">
        <f>'Costo unitario de produccion'!F28</f>
        <v>67930197.520465553</v>
      </c>
      <c r="G6" s="42">
        <f>'Costo unitario de produccion'!G28</f>
        <v>69002514.388279989</v>
      </c>
      <c r="H6" s="42">
        <f>'Costo unitario de produccion'!H28</f>
        <v>70089894.046119869</v>
      </c>
      <c r="I6" s="42">
        <f>'Costo unitario de produccion'!I28</f>
        <v>71388264.393556595</v>
      </c>
      <c r="J6" s="42">
        <f>'Costo unitario de produccion'!J28</f>
        <v>72547222.685428545</v>
      </c>
      <c r="K6" s="42">
        <f>'Costo unitario de produccion'!K28</f>
        <v>73760056.806756452</v>
      </c>
      <c r="L6" s="42">
        <f>'Costo unitario de produccion'!L28</f>
        <v>74774058.594936132</v>
      </c>
      <c r="M6" s="37"/>
    </row>
    <row r="7" spans="2:13">
      <c r="B7" s="37"/>
      <c r="C7" s="41" t="s">
        <v>97</v>
      </c>
      <c r="D7" s="42">
        <f>'Plan de producción'!D9*D10</f>
        <v>67067805.144591562</v>
      </c>
      <c r="E7" s="42">
        <f>'Plan de producción'!E9*E10</f>
        <v>67406968.260773584</v>
      </c>
      <c r="F7" s="42">
        <f>'Plan de producción'!F9*F10</f>
        <v>67889949.115873873</v>
      </c>
      <c r="G7" s="42">
        <f>'Plan de producción'!G9*G10</f>
        <v>68916932.444248736</v>
      </c>
      <c r="H7" s="42">
        <f>'Plan de producción'!H9*H10</f>
        <v>69999666.230591327</v>
      </c>
      <c r="I7" s="42">
        <f>'Plan de producción'!I9*I10</f>
        <v>71281449.150251567</v>
      </c>
      <c r="J7" s="42">
        <f>'Plan de producción'!J9*J10</f>
        <v>72449855.490414932</v>
      </c>
      <c r="K7" s="42">
        <f>'Plan de producción'!K9*K10</f>
        <v>73659272.090114802</v>
      </c>
      <c r="L7" s="42">
        <f>'Plan de producción'!L9*L10</f>
        <v>74688305.786872953</v>
      </c>
      <c r="M7" s="37"/>
    </row>
    <row r="8" spans="2:13">
      <c r="B8" s="37"/>
      <c r="C8" s="41" t="s">
        <v>98</v>
      </c>
      <c r="D8" s="42">
        <f>D5+D6-D7</f>
        <v>5588983.762049295</v>
      </c>
      <c r="E8" s="42">
        <f t="shared" ref="E8:L8" si="1">E5+E6-E7</f>
        <v>5617247.3550644666</v>
      </c>
      <c r="F8" s="42">
        <f t="shared" si="1"/>
        <v>5657495.7596561462</v>
      </c>
      <c r="G8" s="42">
        <f t="shared" si="1"/>
        <v>5743077.7036873996</v>
      </c>
      <c r="H8" s="42">
        <f t="shared" si="1"/>
        <v>5833305.5192159414</v>
      </c>
      <c r="I8" s="42">
        <f t="shared" si="1"/>
        <v>5940120.7625209689</v>
      </c>
      <c r="J8" s="42">
        <f t="shared" si="1"/>
        <v>6037487.9575345814</v>
      </c>
      <c r="K8" s="42">
        <f t="shared" si="1"/>
        <v>6138272.674176231</v>
      </c>
      <c r="L8" s="42">
        <f t="shared" si="1"/>
        <v>6224025.4822394103</v>
      </c>
      <c r="M8" s="37"/>
    </row>
    <row r="9" spans="2:13">
      <c r="B9" s="37"/>
      <c r="C9" s="43"/>
      <c r="D9" s="44"/>
      <c r="E9" s="44"/>
      <c r="F9" s="44"/>
      <c r="G9" s="44"/>
      <c r="H9" s="44"/>
      <c r="I9" s="44"/>
      <c r="J9" s="44"/>
      <c r="K9" s="44"/>
      <c r="L9" s="44"/>
      <c r="M9" s="37"/>
    </row>
    <row r="10" spans="2:13" ht="28">
      <c r="B10" s="37"/>
      <c r="C10" s="41" t="s">
        <v>155</v>
      </c>
      <c r="D10" s="185">
        <f>SUM(D5:D6)/SUM('Plan de producción'!D7:D8)</f>
        <v>90.964065027250186</v>
      </c>
      <c r="E10" s="185">
        <f>SUM(E5:E6)/SUM('Plan de producción'!E7:E8)</f>
        <v>90.429349125942565</v>
      </c>
      <c r="F10" s="185">
        <f>SUM(F5:F6)/SUM('Plan de producción'!F7:F8)</f>
        <v>90.624167891158578</v>
      </c>
      <c r="G10" s="185">
        <f>SUM(G5:G6)/SUM('Plan de producción'!G7:G8)</f>
        <v>91.084213651659198</v>
      </c>
      <c r="H10" s="185">
        <f>SUM(H5:H6)/SUM('Plan de producción'!H7:H8)</f>
        <v>91.599218925945848</v>
      </c>
      <c r="I10" s="185">
        <f>SUM(I5:I6)/SUM('Plan de producción'!I7:I8)</f>
        <v>92.170471469798628</v>
      </c>
      <c r="J10" s="185">
        <f>SUM(J5:J6)/SUM('Plan de producción'!J7:J8)</f>
        <v>92.753741766135306</v>
      </c>
      <c r="K10" s="185">
        <f>SUM(K5:K6)/SUM('Plan de producción'!K7:K8)</f>
        <v>93.183887616163247</v>
      </c>
      <c r="L10" s="185">
        <f>SUM(L5:L6)/SUM('Plan de producción'!L7:L8)</f>
        <v>93.550181994188748</v>
      </c>
      <c r="M10" s="37"/>
    </row>
    <row r="11" spans="2:13">
      <c r="B11" s="45"/>
      <c r="C11" s="46"/>
      <c r="D11" s="45"/>
      <c r="E11" s="45"/>
      <c r="F11" s="37"/>
      <c r="G11" s="37"/>
      <c r="H11" s="37"/>
      <c r="I11" s="37"/>
      <c r="J11" s="37"/>
      <c r="K11" s="37"/>
      <c r="L11" s="37"/>
      <c r="M11" s="37"/>
    </row>
    <row r="12" spans="2:13">
      <c r="B12" s="4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2:13" ht="18">
      <c r="B13" s="40" t="s">
        <v>101</v>
      </c>
      <c r="C13" s="106" t="str">
        <f>Parametros!B8</f>
        <v>Kamish</v>
      </c>
      <c r="D13" s="106">
        <v>2013</v>
      </c>
      <c r="E13" s="106">
        <v>2014</v>
      </c>
      <c r="F13" s="106">
        <v>2015</v>
      </c>
      <c r="G13" s="106">
        <v>2016</v>
      </c>
      <c r="H13" s="106">
        <v>2017</v>
      </c>
      <c r="I13" s="106">
        <v>2018</v>
      </c>
      <c r="J13" s="106">
        <v>2019</v>
      </c>
      <c r="K13" s="106">
        <v>2020</v>
      </c>
      <c r="L13" s="106">
        <v>2021</v>
      </c>
      <c r="M13" s="37"/>
    </row>
    <row r="14" spans="2:13">
      <c r="B14" s="45"/>
      <c r="C14" s="41" t="s">
        <v>95</v>
      </c>
      <c r="D14" s="42">
        <f>Parametros!F14</f>
        <v>3990000</v>
      </c>
      <c r="E14" s="42">
        <f>D17</f>
        <v>3818782.1866788119</v>
      </c>
      <c r="F14" s="42">
        <f t="shared" ref="F14:L14" si="2">E17</f>
        <v>3866871.101055108</v>
      </c>
      <c r="G14" s="42">
        <f t="shared" si="2"/>
        <v>3918512.4838746935</v>
      </c>
      <c r="H14" s="42">
        <f t="shared" si="2"/>
        <v>3982602.9466665909</v>
      </c>
      <c r="I14" s="42">
        <f t="shared" si="2"/>
        <v>4055187.2754112184</v>
      </c>
      <c r="J14" s="42">
        <f t="shared" si="2"/>
        <v>4150441.148353532</v>
      </c>
      <c r="K14" s="42">
        <f t="shared" si="2"/>
        <v>4227705.0613921955</v>
      </c>
      <c r="L14" s="42">
        <f t="shared" si="2"/>
        <v>4296039.7778981924</v>
      </c>
      <c r="M14" s="37"/>
    </row>
    <row r="15" spans="2:13">
      <c r="B15" s="45"/>
      <c r="C15" s="41" t="s">
        <v>96</v>
      </c>
      <c r="D15" s="42">
        <f>'Costo unitario de produccion'!D57</f>
        <v>54819245.674853772</v>
      </c>
      <c r="E15" s="42">
        <f>'Costo unitario de produccion'!E57</f>
        <v>55731032.769569911</v>
      </c>
      <c r="F15" s="42">
        <f>'Costo unitario de produccion'!F57</f>
        <v>56478221.150615223</v>
      </c>
      <c r="G15" s="42">
        <f>'Costo unitario de produccion'!G57</f>
        <v>57413572.894790746</v>
      </c>
      <c r="H15" s="42">
        <f>'Costo unitario de produccion'!H57</f>
        <v>58467281.094666079</v>
      </c>
      <c r="I15" s="42">
        <f>'Costo unitario de produccion'!I57</f>
        <v>59861606.409233101</v>
      </c>
      <c r="J15" s="42">
        <f>'Costo unitario de produccion'!J57</f>
        <v>60956216.797086306</v>
      </c>
      <c r="K15" s="42">
        <f>'Costo unitario de produccion'!K57</f>
        <v>61931307.518239923</v>
      </c>
      <c r="L15" s="42">
        <f>'Costo unitario de produccion'!L57</f>
        <v>62890912.957526863</v>
      </c>
      <c r="M15" s="37"/>
    </row>
    <row r="16" spans="2:13">
      <c r="B16" s="45"/>
      <c r="C16" s="41" t="s">
        <v>97</v>
      </c>
      <c r="D16" s="42">
        <f>D19*'Plan de producción'!D19</f>
        <v>54990463.48817496</v>
      </c>
      <c r="E16" s="42">
        <f>E19*'Plan de producción'!E19</f>
        <v>55682943.855193615</v>
      </c>
      <c r="F16" s="42">
        <f>F19*'Plan de producción'!F19</f>
        <v>56426579.767795637</v>
      </c>
      <c r="G16" s="42">
        <f>G19*'Plan de producción'!G19</f>
        <v>57349482.431998849</v>
      </c>
      <c r="H16" s="42">
        <f>H19*'Plan de producción'!H19</f>
        <v>58394696.765921451</v>
      </c>
      <c r="I16" s="42">
        <f>I19*'Plan de producción'!I19</f>
        <v>59766352.536290787</v>
      </c>
      <c r="J16" s="42">
        <f>J19*'Plan de producción'!J19</f>
        <v>60878952.884047642</v>
      </c>
      <c r="K16" s="42">
        <f>K19*'Plan de producción'!K19</f>
        <v>61862972.801733926</v>
      </c>
      <c r="L16" s="42">
        <f>L19*'Plan de producción'!L19</f>
        <v>62824163.596761093</v>
      </c>
      <c r="M16" s="37"/>
    </row>
    <row r="17" spans="2:13">
      <c r="B17" s="45"/>
      <c r="C17" s="41" t="s">
        <v>98</v>
      </c>
      <c r="D17" s="42">
        <f>D14+D15-D16</f>
        <v>3818782.1866788119</v>
      </c>
      <c r="E17" s="42">
        <f t="shared" ref="E17:L17" si="3">E14+E15-E16</f>
        <v>3866871.101055108</v>
      </c>
      <c r="F17" s="42">
        <f t="shared" si="3"/>
        <v>3918512.4838746935</v>
      </c>
      <c r="G17" s="42">
        <f t="shared" si="3"/>
        <v>3982602.9466665909</v>
      </c>
      <c r="H17" s="42">
        <f t="shared" si="3"/>
        <v>4055187.2754112184</v>
      </c>
      <c r="I17" s="42">
        <f t="shared" si="3"/>
        <v>4150441.148353532</v>
      </c>
      <c r="J17" s="42">
        <f t="shared" si="3"/>
        <v>4227705.0613921955</v>
      </c>
      <c r="K17" s="42">
        <f t="shared" si="3"/>
        <v>4296039.7778981924</v>
      </c>
      <c r="L17" s="42">
        <f t="shared" si="3"/>
        <v>4362789.1386639625</v>
      </c>
      <c r="M17" s="37"/>
    </row>
    <row r="18" spans="2:13">
      <c r="B18" s="45"/>
      <c r="C18" s="43"/>
      <c r="D18" s="44"/>
      <c r="E18" s="44"/>
      <c r="F18" s="44"/>
      <c r="G18" s="44"/>
      <c r="H18" s="44"/>
      <c r="I18" s="44"/>
      <c r="J18" s="44"/>
      <c r="K18" s="44"/>
      <c r="L18" s="44"/>
      <c r="M18" s="37"/>
    </row>
    <row r="19" spans="2:13" ht="28">
      <c r="B19" s="45"/>
      <c r="C19" s="41" t="s">
        <v>155</v>
      </c>
      <c r="D19" s="185">
        <f>SUM(D14:D15)/SUM('Plan de producción'!D17:D18)</f>
        <v>87.383542806570745</v>
      </c>
      <c r="E19" s="185">
        <f>SUM(E14:E15)/SUM('Plan de producción'!E17:E18)</f>
        <v>87.434723968964875</v>
      </c>
      <c r="F19" s="185">
        <f>SUM(F14:F15)/SUM('Plan de producción'!F17:F18)</f>
        <v>87.725147836943023</v>
      </c>
      <c r="G19" s="185">
        <f>SUM(G14:G15)/SUM('Plan de producción'!G17:G18)</f>
        <v>88.277192149034548</v>
      </c>
      <c r="H19" s="185">
        <f>SUM(H14:H15)/SUM('Plan de producción'!H17:H18)</f>
        <v>88.90808584292769</v>
      </c>
      <c r="I19" s="185">
        <f>SUM(I14:I15)/SUM('Plan de producción'!I17:I18)</f>
        <v>89.651706887478809</v>
      </c>
      <c r="J19" s="185">
        <f>SUM(J14:J15)/SUM('Plan de producción'!J17:J18)</f>
        <v>90.327050401524232</v>
      </c>
      <c r="K19" s="185">
        <f>SUM(K14:K15)/SUM('Plan de producción'!K17:K18)</f>
        <v>90.878273343128853</v>
      </c>
      <c r="L19" s="185">
        <f>SUM(L14:L15)/SUM('Plan de producción'!L17:L18)</f>
        <v>91.376521739840655</v>
      </c>
      <c r="M19" s="37"/>
    </row>
    <row r="20" spans="2:13">
      <c r="B20" s="45"/>
      <c r="C20" s="43"/>
      <c r="D20" s="48"/>
      <c r="E20" s="48"/>
      <c r="F20" s="48"/>
      <c r="G20" s="48"/>
      <c r="H20" s="48"/>
      <c r="I20" s="48"/>
      <c r="J20" s="48"/>
      <c r="K20" s="48"/>
      <c r="L20" s="48"/>
      <c r="M20" s="37"/>
    </row>
    <row r="21" spans="2:13">
      <c r="B21" s="45"/>
      <c r="C21" s="43"/>
      <c r="D21" s="48"/>
      <c r="E21" s="48"/>
      <c r="F21" s="48"/>
      <c r="G21" s="48"/>
      <c r="H21" s="48"/>
      <c r="I21" s="48"/>
      <c r="J21" s="48"/>
      <c r="K21" s="48"/>
      <c r="L21" s="48"/>
      <c r="M21" s="37"/>
    </row>
    <row r="22" spans="2:13" ht="36">
      <c r="B22" s="40" t="s">
        <v>102</v>
      </c>
      <c r="C22" s="106" t="str">
        <f>Parametros!B9</f>
        <v>Roscas con pisco</v>
      </c>
      <c r="D22" s="106">
        <v>2013</v>
      </c>
      <c r="E22" s="106">
        <v>2014</v>
      </c>
      <c r="F22" s="106">
        <v>2015</v>
      </c>
      <c r="G22" s="106">
        <v>2016</v>
      </c>
      <c r="H22" s="106">
        <v>2017</v>
      </c>
      <c r="I22" s="106">
        <v>2018</v>
      </c>
      <c r="J22" s="106">
        <v>2019</v>
      </c>
      <c r="K22" s="106">
        <v>2020</v>
      </c>
      <c r="L22" s="106">
        <v>2021</v>
      </c>
      <c r="M22" s="37"/>
    </row>
    <row r="23" spans="2:13">
      <c r="B23" s="37"/>
      <c r="C23" s="41" t="s">
        <v>95</v>
      </c>
      <c r="D23" s="42">
        <f>Parametros!F15</f>
        <v>2520000</v>
      </c>
      <c r="E23" s="42">
        <f>D26</f>
        <v>2406531.5697996989</v>
      </c>
      <c r="F23" s="42">
        <f t="shared" ref="F23:L23" si="4">E26</f>
        <v>2432462.9798562452</v>
      </c>
      <c r="G23" s="42">
        <f t="shared" si="4"/>
        <v>2472502.5649145246</v>
      </c>
      <c r="H23" s="42">
        <f t="shared" si="4"/>
        <v>2522480.3142664209</v>
      </c>
      <c r="I23" s="42">
        <f t="shared" si="4"/>
        <v>2571779.1076197624</v>
      </c>
      <c r="J23" s="42">
        <f t="shared" si="4"/>
        <v>2620268.180298306</v>
      </c>
      <c r="K23" s="42">
        <f t="shared" si="4"/>
        <v>2667474.7631643713</v>
      </c>
      <c r="L23" s="42">
        <f t="shared" si="4"/>
        <v>2716510.5778511763</v>
      </c>
      <c r="M23" s="37"/>
    </row>
    <row r="24" spans="2:13">
      <c r="B24" s="37"/>
      <c r="C24" s="41" t="s">
        <v>96</v>
      </c>
      <c r="D24" s="42">
        <f>'Costo unitario de produccion'!D86</f>
        <v>43204099.826194361</v>
      </c>
      <c r="E24" s="42">
        <f>'Costo unitario de produccion'!E86</f>
        <v>43810265.04746893</v>
      </c>
      <c r="F24" s="42">
        <f>'Costo unitario de produccion'!F86</f>
        <v>44545085.753519729</v>
      </c>
      <c r="G24" s="42">
        <f>'Costo unitario de produccion'!G86</f>
        <v>45454623.406147428</v>
      </c>
      <c r="H24" s="42">
        <f>'Costo unitario de produccion'!H86</f>
        <v>46341322.730508849</v>
      </c>
      <c r="I24" s="42">
        <f>'Costo unitario de produccion'!I86</f>
        <v>47213316.318048067</v>
      </c>
      <c r="J24" s="42">
        <f>'Costo unitario de produccion'!J86</f>
        <v>48061752.31982471</v>
      </c>
      <c r="K24" s="42">
        <f>'Costo unitario de produccion'!K86</f>
        <v>48946226.21600797</v>
      </c>
      <c r="L24" s="42">
        <f>'Costo unitario de produccion'!L86</f>
        <v>49759393.080402449</v>
      </c>
      <c r="M24" s="37"/>
    </row>
    <row r="25" spans="2:13">
      <c r="B25" s="37"/>
      <c r="C25" s="41" t="s">
        <v>97</v>
      </c>
      <c r="D25" s="42">
        <f>D28*'Plan de producción'!D29</f>
        <v>43317568.256394662</v>
      </c>
      <c r="E25" s="42">
        <f>E28*'Plan de producción'!E29</f>
        <v>43784333.637412384</v>
      </c>
      <c r="F25" s="42">
        <f>F28*'Plan de producción'!F29</f>
        <v>44505046.168461449</v>
      </c>
      <c r="G25" s="42">
        <f>G28*'Plan de producción'!G29</f>
        <v>45404645.656795532</v>
      </c>
      <c r="H25" s="42">
        <f>H28*'Plan de producción'!H29</f>
        <v>46292023.937155508</v>
      </c>
      <c r="I25" s="42">
        <f>I28*'Plan de producción'!I29</f>
        <v>47164827.245369524</v>
      </c>
      <c r="J25" s="42">
        <f>J28*'Plan de producción'!J29</f>
        <v>48014545.736958645</v>
      </c>
      <c r="K25" s="42">
        <f>K28*'Plan de producción'!K29</f>
        <v>48897190.401321165</v>
      </c>
      <c r="L25" s="42">
        <f>L28*'Plan de producción'!L29</f>
        <v>49714013.992029749</v>
      </c>
      <c r="M25" s="37"/>
    </row>
    <row r="26" spans="2:13">
      <c r="B26" s="37"/>
      <c r="C26" s="41" t="s">
        <v>98</v>
      </c>
      <c r="D26" s="42">
        <f>D23+D24-D25</f>
        <v>2406531.5697996989</v>
      </c>
      <c r="E26" s="42">
        <f t="shared" ref="E26:L26" si="5">E23+E24-E25</f>
        <v>2432462.9798562452</v>
      </c>
      <c r="F26" s="42">
        <f t="shared" si="5"/>
        <v>2472502.5649145246</v>
      </c>
      <c r="G26" s="42">
        <f t="shared" si="5"/>
        <v>2522480.3142664209</v>
      </c>
      <c r="H26" s="42">
        <f t="shared" si="5"/>
        <v>2571779.1076197624</v>
      </c>
      <c r="I26" s="42">
        <f t="shared" si="5"/>
        <v>2620268.180298306</v>
      </c>
      <c r="J26" s="42">
        <f t="shared" si="5"/>
        <v>2667474.7631643713</v>
      </c>
      <c r="K26" s="42">
        <f t="shared" si="5"/>
        <v>2716510.5778511763</v>
      </c>
      <c r="L26" s="42">
        <f t="shared" si="5"/>
        <v>2761889.6662238762</v>
      </c>
      <c r="M26" s="37"/>
    </row>
    <row r="27" spans="2:13">
      <c r="B27" s="37"/>
      <c r="C27" s="43"/>
      <c r="D27" s="44"/>
      <c r="E27" s="44"/>
      <c r="F27" s="44"/>
      <c r="G27" s="44"/>
      <c r="H27" s="44"/>
      <c r="I27" s="44"/>
      <c r="J27" s="44"/>
      <c r="K27" s="44"/>
      <c r="L27" s="44"/>
      <c r="M27" s="37"/>
    </row>
    <row r="28" spans="2:13" ht="28">
      <c r="B28" s="37"/>
      <c r="C28" s="41" t="s">
        <v>345</v>
      </c>
      <c r="D28" s="185">
        <f>SUM(D23:D24)/SUM('Plan de producción'!D27:D28)</f>
        <v>85.77736288394982</v>
      </c>
      <c r="E28" s="185">
        <f>SUM(E23:E24)/SUM('Plan de producción'!E27:E28)</f>
        <v>85.758309364147621</v>
      </c>
      <c r="F28" s="185">
        <f>SUM(F23:F24)/SUM('Plan de producción'!F27:F28)</f>
        <v>86.051268518149399</v>
      </c>
      <c r="G28" s="185">
        <f>SUM(G23:G24)/SUM('Plan de producción'!G27:G28)</f>
        <v>86.621272349728685</v>
      </c>
      <c r="H28" s="185">
        <f>SUM(H23:H24)/SUM('Plan de producción'!H27:H28)</f>
        <v>87.266975494805962</v>
      </c>
      <c r="I28" s="185">
        <f>SUM(I23:I24)/SUM('Plan de producción'!I27:I28)</f>
        <v>88.032012355706954</v>
      </c>
      <c r="J28" s="185">
        <f>SUM(J23:J24)/SUM('Plan de producción'!J27:J28)</f>
        <v>88.730684577790257</v>
      </c>
      <c r="K28" s="185">
        <f>SUM(K23:K24)/SUM('Plan de producción'!K27:K28)</f>
        <v>89.290324422449686</v>
      </c>
      <c r="L28" s="185">
        <f>SUM(L23:L24)/SUM('Plan de producción'!L27:L28)</f>
        <v>89.794176096287472</v>
      </c>
      <c r="M28" s="37"/>
    </row>
    <row r="29" spans="2:13">
      <c r="B29" s="37"/>
      <c r="C29" s="43"/>
      <c r="D29" s="48"/>
      <c r="E29" s="48"/>
      <c r="F29" s="48"/>
      <c r="G29" s="48"/>
      <c r="H29" s="48"/>
      <c r="I29" s="48"/>
      <c r="J29" s="48"/>
      <c r="K29" s="48"/>
      <c r="L29" s="48"/>
      <c r="M29" s="37"/>
    </row>
    <row r="30" spans="2:13">
      <c r="B30" s="37"/>
      <c r="C30" s="37"/>
      <c r="D30" s="45"/>
      <c r="E30" s="45"/>
      <c r="F30" s="45"/>
      <c r="G30" s="45"/>
      <c r="H30" s="45"/>
      <c r="I30" s="45"/>
      <c r="J30" s="45"/>
      <c r="K30" s="45"/>
      <c r="L30" s="45"/>
      <c r="M30" s="37"/>
    </row>
    <row r="31" spans="2:13" ht="18">
      <c r="B31" s="49" t="s">
        <v>156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2:13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2:13" ht="54">
      <c r="B33" s="37"/>
      <c r="C33" s="106" t="s">
        <v>346</v>
      </c>
      <c r="D33" s="106">
        <v>2013</v>
      </c>
      <c r="E33" s="106">
        <v>2014</v>
      </c>
      <c r="F33" s="106">
        <v>2015</v>
      </c>
      <c r="G33" s="106">
        <v>2016</v>
      </c>
      <c r="H33" s="106">
        <v>2017</v>
      </c>
      <c r="I33" s="106">
        <v>2018</v>
      </c>
      <c r="J33" s="106">
        <v>2019</v>
      </c>
      <c r="K33" s="106">
        <v>2020</v>
      </c>
      <c r="L33" s="106">
        <v>2021</v>
      </c>
      <c r="M33" s="37"/>
    </row>
    <row r="34" spans="2:13">
      <c r="B34" s="37"/>
      <c r="C34" s="41" t="str">
        <f>$C$4</f>
        <v xml:space="preserve">Grissini </v>
      </c>
      <c r="D34" s="47">
        <f>D7</f>
        <v>67067805.144591562</v>
      </c>
      <c r="E34" s="47">
        <f t="shared" ref="E34:L34" si="6">E7</f>
        <v>67406968.260773584</v>
      </c>
      <c r="F34" s="47">
        <f t="shared" si="6"/>
        <v>67889949.115873873</v>
      </c>
      <c r="G34" s="47">
        <f t="shared" si="6"/>
        <v>68916932.444248736</v>
      </c>
      <c r="H34" s="47">
        <f t="shared" si="6"/>
        <v>69999666.230591327</v>
      </c>
      <c r="I34" s="47">
        <f t="shared" si="6"/>
        <v>71281449.150251567</v>
      </c>
      <c r="J34" s="47">
        <f t="shared" si="6"/>
        <v>72449855.490414932</v>
      </c>
      <c r="K34" s="47">
        <f t="shared" si="6"/>
        <v>73659272.090114802</v>
      </c>
      <c r="L34" s="47">
        <f t="shared" si="6"/>
        <v>74688305.786872953</v>
      </c>
      <c r="M34" s="37"/>
    </row>
    <row r="35" spans="2:13">
      <c r="B35" s="37"/>
      <c r="C35" s="41" t="str">
        <f>$C$13</f>
        <v>Kamish</v>
      </c>
      <c r="D35" s="47">
        <f>D16</f>
        <v>54990463.48817496</v>
      </c>
      <c r="E35" s="47">
        <f t="shared" ref="E35:L35" si="7">E16</f>
        <v>55682943.855193615</v>
      </c>
      <c r="F35" s="47">
        <f t="shared" si="7"/>
        <v>56426579.767795637</v>
      </c>
      <c r="G35" s="47">
        <f t="shared" si="7"/>
        <v>57349482.431998849</v>
      </c>
      <c r="H35" s="47">
        <f t="shared" si="7"/>
        <v>58394696.765921451</v>
      </c>
      <c r="I35" s="47">
        <f t="shared" si="7"/>
        <v>59766352.536290787</v>
      </c>
      <c r="J35" s="47">
        <f t="shared" si="7"/>
        <v>60878952.884047642</v>
      </c>
      <c r="K35" s="47">
        <f t="shared" si="7"/>
        <v>61862972.801733926</v>
      </c>
      <c r="L35" s="47">
        <f t="shared" si="7"/>
        <v>62824163.596761093</v>
      </c>
      <c r="M35" s="37"/>
    </row>
    <row r="36" spans="2:13" ht="28">
      <c r="B36" s="37"/>
      <c r="C36" s="41" t="str">
        <f>$C$22</f>
        <v>Roscas con pisco</v>
      </c>
      <c r="D36" s="47">
        <f>D25</f>
        <v>43317568.256394662</v>
      </c>
      <c r="E36" s="47">
        <f t="shared" ref="E36:K36" si="8">E25</f>
        <v>43784333.637412384</v>
      </c>
      <c r="F36" s="47">
        <f t="shared" si="8"/>
        <v>44505046.168461449</v>
      </c>
      <c r="G36" s="47">
        <f t="shared" si="8"/>
        <v>45404645.656795532</v>
      </c>
      <c r="H36" s="47">
        <f t="shared" si="8"/>
        <v>46292023.937155508</v>
      </c>
      <c r="I36" s="47">
        <f t="shared" si="8"/>
        <v>47164827.245369524</v>
      </c>
      <c r="J36" s="47">
        <f t="shared" si="8"/>
        <v>48014545.736958645</v>
      </c>
      <c r="K36" s="47">
        <f t="shared" si="8"/>
        <v>48897190.401321165</v>
      </c>
      <c r="L36" s="47">
        <f>L25</f>
        <v>49714013.992029749</v>
      </c>
      <c r="M36" s="37"/>
    </row>
    <row r="38" spans="2:13" ht="18">
      <c r="C38" s="106" t="s">
        <v>157</v>
      </c>
      <c r="D38" s="18">
        <f>SUM(D34:D36)</f>
        <v>165375836.88916117</v>
      </c>
      <c r="E38" s="18">
        <f t="shared" ref="E38:L38" si="9">SUM(E34:E36)</f>
        <v>166874245.75337958</v>
      </c>
      <c r="F38" s="18">
        <f t="shared" si="9"/>
        <v>168821575.05213097</v>
      </c>
      <c r="G38" s="18">
        <f t="shared" si="9"/>
        <v>171671060.53304312</v>
      </c>
      <c r="H38" s="18">
        <f t="shared" si="9"/>
        <v>174686386.93366829</v>
      </c>
      <c r="I38" s="18">
        <f t="shared" si="9"/>
        <v>178212628.93191189</v>
      </c>
      <c r="J38" s="18">
        <f t="shared" si="9"/>
        <v>181343354.11142123</v>
      </c>
      <c r="K38" s="18">
        <f t="shared" si="9"/>
        <v>184419435.29316992</v>
      </c>
      <c r="L38" s="18">
        <f t="shared" si="9"/>
        <v>187226483.37566379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workbookViewId="0">
      <selection activeCell="C26" sqref="C26"/>
    </sheetView>
  </sheetViews>
  <sheetFormatPr baseColWidth="10" defaultRowHeight="15" x14ac:dyDescent="0"/>
  <cols>
    <col min="2" max="2" width="31.6640625" customWidth="1"/>
    <col min="3" max="3" width="14.1640625" customWidth="1"/>
    <col min="4" max="5" width="13.6640625" customWidth="1"/>
    <col min="6" max="6" width="13" customWidth="1"/>
    <col min="7" max="7" width="12.33203125" customWidth="1"/>
    <col min="8" max="8" width="13" customWidth="1"/>
    <col min="9" max="9" width="12.6640625" customWidth="1"/>
    <col min="10" max="10" width="13.1640625" customWidth="1"/>
    <col min="11" max="11" width="12.6640625" customWidth="1"/>
  </cols>
  <sheetData>
    <row r="2" spans="2:11" ht="20">
      <c r="B2" s="337" t="s">
        <v>520</v>
      </c>
      <c r="C2" s="337"/>
      <c r="D2" s="337"/>
      <c r="E2" s="337"/>
    </row>
    <row r="4" spans="2:11" ht="18">
      <c r="B4" s="173" t="s">
        <v>560</v>
      </c>
      <c r="C4" s="261">
        <v>2013</v>
      </c>
      <c r="D4" s="261">
        <v>2014</v>
      </c>
      <c r="E4" s="261">
        <v>2015</v>
      </c>
      <c r="F4" s="261">
        <v>2016</v>
      </c>
      <c r="G4" s="261">
        <v>2017</v>
      </c>
      <c r="H4" s="261">
        <v>2018</v>
      </c>
      <c r="I4" s="261">
        <v>2019</v>
      </c>
      <c r="J4" s="261">
        <v>2020</v>
      </c>
      <c r="K4" s="261">
        <v>2021</v>
      </c>
    </row>
    <row r="5" spans="2:11">
      <c r="B5" s="262" t="s">
        <v>561</v>
      </c>
      <c r="C5" s="253">
        <f>'Plan de Ventas'!C34</f>
        <v>180753135</v>
      </c>
      <c r="D5" s="253">
        <f>'Plan de Ventas'!D34</f>
        <v>184812620.62901995</v>
      </c>
      <c r="E5" s="253">
        <f>'Plan de Ventas'!E34</f>
        <v>189217247.74602604</v>
      </c>
      <c r="F5" s="253">
        <f>'Plan de Ventas'!F34</f>
        <v>193191052.94123635</v>
      </c>
      <c r="G5" s="253">
        <f>'Plan de Ventas'!G34</f>
        <v>197434484.07587573</v>
      </c>
      <c r="H5" s="253">
        <f>'Plan de Ventas'!H34</f>
        <v>202899259.95068443</v>
      </c>
      <c r="I5" s="253">
        <f>'Plan de Ventas'!I34</f>
        <v>207046245.13319218</v>
      </c>
      <c r="J5" s="253">
        <f>'Plan de Ventas'!J34</f>
        <v>211485787.02191275</v>
      </c>
      <c r="K5" s="253">
        <f>'Plan de Ventas'!K34</f>
        <v>215791197.3875939</v>
      </c>
    </row>
    <row r="6" spans="2:11">
      <c r="B6" s="262" t="s">
        <v>297</v>
      </c>
      <c r="C6" s="263">
        <f>Parametros!$C135 * C5</f>
        <v>54225940.5</v>
      </c>
      <c r="D6" s="263">
        <f>Parametros!$C135 * D5</f>
        <v>55443786.188705981</v>
      </c>
      <c r="E6" s="263">
        <f>Parametros!$C135 * E5</f>
        <v>56765174.323807813</v>
      </c>
      <c r="F6" s="263">
        <f>Parametros!$C135 * F5</f>
        <v>57957315.882370904</v>
      </c>
      <c r="G6" s="263">
        <f>Parametros!$C135 * G5</f>
        <v>59230345.222762719</v>
      </c>
      <c r="H6" s="263">
        <f>Parametros!$C135 * H5</f>
        <v>60869777.985205323</v>
      </c>
      <c r="I6" s="263">
        <f>Parametros!$C135 * I5</f>
        <v>62113873.53995765</v>
      </c>
      <c r="J6" s="263">
        <f>Parametros!$C135 * J5</f>
        <v>63445736.10657382</v>
      </c>
      <c r="K6" s="263">
        <f>Parametros!$C135 * K5</f>
        <v>64737359.216278166</v>
      </c>
    </row>
    <row r="7" spans="2:11">
      <c r="B7" s="262" t="s">
        <v>298</v>
      </c>
      <c r="C7" s="253">
        <f>Parametros!$C136 * C5</f>
        <v>126527194.49999999</v>
      </c>
      <c r="D7" s="253">
        <f>Parametros!$C136 * D5</f>
        <v>129368834.44031395</v>
      </c>
      <c r="E7" s="253">
        <f>Parametros!$C136 * E5</f>
        <v>132452073.42221822</v>
      </c>
      <c r="F7" s="253">
        <f>Parametros!$C136 * F5</f>
        <v>135233737.05886543</v>
      </c>
      <c r="G7" s="253">
        <f>Parametros!$C136 * G5</f>
        <v>138204138.853113</v>
      </c>
      <c r="H7" s="253">
        <f>Parametros!$C136 * H5</f>
        <v>142029481.96547908</v>
      </c>
      <c r="I7" s="253">
        <f>Parametros!$C136 * I5</f>
        <v>144932371.59323451</v>
      </c>
      <c r="J7" s="253">
        <f>Parametros!$C136 * J5</f>
        <v>148040050.9153389</v>
      </c>
      <c r="K7" s="253">
        <f>Parametros!$C136 * K5</f>
        <v>151053838.17131573</v>
      </c>
    </row>
    <row r="8" spans="2:11">
      <c r="B8" s="262" t="s">
        <v>562</v>
      </c>
      <c r="C8" s="253">
        <f>(Parametros!$C$138) * C7</f>
        <v>101221755.59999999</v>
      </c>
      <c r="D8" s="253">
        <f>(Parametros!$C$138) * D7</f>
        <v>103495067.55225116</v>
      </c>
      <c r="E8" s="253">
        <f>(Parametros!$C$138) * E7</f>
        <v>105961658.73777458</v>
      </c>
      <c r="F8" s="253">
        <f>(Parametros!$C$138) * F7</f>
        <v>108186989.64709234</v>
      </c>
      <c r="G8" s="253">
        <f>(Parametros!$C$138) * G7</f>
        <v>110563311.0824904</v>
      </c>
      <c r="H8" s="253">
        <f>(Parametros!$C$138) * H7</f>
        <v>113623585.57238327</v>
      </c>
      <c r="I8" s="253">
        <f>(Parametros!$C$138) * I7</f>
        <v>115945897.27458762</v>
      </c>
      <c r="J8" s="253">
        <f>(Parametros!$C$138) * J7</f>
        <v>118432040.73227113</v>
      </c>
      <c r="K8" s="253">
        <f>(Parametros!$C$138) * K7</f>
        <v>120843070.53705259</v>
      </c>
    </row>
    <row r="9" spans="2:11">
      <c r="B9" s="262" t="s">
        <v>563</v>
      </c>
      <c r="C9" s="253">
        <f>C7*Parametros!$C$139</f>
        <v>25305438.899999999</v>
      </c>
      <c r="D9" s="253">
        <f>D7*Parametros!$C$139</f>
        <v>25873766.88806279</v>
      </c>
      <c r="E9" s="253">
        <f>E7*Parametros!$C$139</f>
        <v>26490414.684443645</v>
      </c>
      <c r="F9" s="253">
        <f>F7*Parametros!$C$139</f>
        <v>27046747.411773086</v>
      </c>
      <c r="G9" s="253">
        <f>G7*Parametros!$C$139</f>
        <v>27640827.7706226</v>
      </c>
      <c r="H9" s="253">
        <f>H7*Parametros!$C$139</f>
        <v>28405896.393095817</v>
      </c>
      <c r="I9" s="253">
        <f>I7*Parametros!$C$139</f>
        <v>28986474.318646904</v>
      </c>
      <c r="J9" s="253">
        <f>J7*Parametros!$C$139</f>
        <v>29608010.183067784</v>
      </c>
      <c r="K9" s="253">
        <f>K7*Parametros!$C$139</f>
        <v>30210767.634263147</v>
      </c>
    </row>
    <row r="10" spans="2:11">
      <c r="B10" s="264" t="s">
        <v>564</v>
      </c>
      <c r="C10" s="253">
        <f>C7*Parametros!$C$137</f>
        <v>1265271.9449999998</v>
      </c>
      <c r="D10" s="253">
        <f>D7*Parametros!$C$137</f>
        <v>1293688.3444031395</v>
      </c>
      <c r="E10" s="253">
        <f>E7*Parametros!$C$137</f>
        <v>1324520.7342221823</v>
      </c>
      <c r="F10" s="253">
        <f>F7*Parametros!$C$137</f>
        <v>1352337.3705886544</v>
      </c>
      <c r="G10" s="253">
        <f>G7*Parametros!$C$137</f>
        <v>1382041.38853113</v>
      </c>
      <c r="H10" s="253">
        <f>H7*Parametros!$C$137</f>
        <v>1420294.8196547907</v>
      </c>
      <c r="I10" s="253">
        <f>I7*Parametros!$C$137</f>
        <v>1449323.715932345</v>
      </c>
      <c r="J10" s="253">
        <f>J7*Parametros!$C$137</f>
        <v>1480400.5091533891</v>
      </c>
      <c r="K10" s="253">
        <f>K7*Parametros!$C$137</f>
        <v>1510538.3817131573</v>
      </c>
    </row>
    <row r="11" spans="2:11">
      <c r="B11" s="265"/>
      <c r="C11" s="59"/>
      <c r="D11" s="59"/>
      <c r="E11" s="59"/>
      <c r="F11" s="59"/>
      <c r="G11" s="59"/>
      <c r="H11" s="59"/>
      <c r="I11" s="59"/>
      <c r="J11" s="59"/>
      <c r="K11" s="59"/>
    </row>
    <row r="12" spans="2:11">
      <c r="B12" s="266" t="s">
        <v>565</v>
      </c>
      <c r="C12" s="253">
        <f>C6</f>
        <v>54225940.5</v>
      </c>
      <c r="D12" s="253">
        <f t="shared" ref="D12:K12" si="0">D6</f>
        <v>55443786.188705981</v>
      </c>
      <c r="E12" s="253">
        <f t="shared" si="0"/>
        <v>56765174.323807813</v>
      </c>
      <c r="F12" s="253">
        <f t="shared" si="0"/>
        <v>57957315.882370904</v>
      </c>
      <c r="G12" s="253">
        <f t="shared" si="0"/>
        <v>59230345.222762719</v>
      </c>
      <c r="H12" s="253">
        <f t="shared" si="0"/>
        <v>60869777.985205323</v>
      </c>
      <c r="I12" s="253">
        <f t="shared" si="0"/>
        <v>62113873.53995765</v>
      </c>
      <c r="J12" s="253">
        <f t="shared" si="0"/>
        <v>63445736.10657382</v>
      </c>
      <c r="K12" s="253">
        <f t="shared" si="0"/>
        <v>64737359.216278166</v>
      </c>
    </row>
    <row r="13" spans="2:11">
      <c r="B13" s="266" t="s">
        <v>566</v>
      </c>
      <c r="C13" s="253">
        <f>C8</f>
        <v>101221755.59999999</v>
      </c>
      <c r="D13" s="253">
        <f t="shared" ref="D13:K13" si="1">D8</f>
        <v>103495067.55225116</v>
      </c>
      <c r="E13" s="253">
        <f t="shared" si="1"/>
        <v>105961658.73777458</v>
      </c>
      <c r="F13" s="253">
        <f t="shared" si="1"/>
        <v>108186989.64709234</v>
      </c>
      <c r="G13" s="253">
        <f t="shared" si="1"/>
        <v>110563311.0824904</v>
      </c>
      <c r="H13" s="253">
        <f t="shared" si="1"/>
        <v>113623585.57238327</v>
      </c>
      <c r="I13" s="253">
        <f t="shared" si="1"/>
        <v>115945897.27458762</v>
      </c>
      <c r="J13" s="253">
        <f t="shared" si="1"/>
        <v>118432040.73227113</v>
      </c>
      <c r="K13" s="253">
        <f t="shared" si="1"/>
        <v>120843070.53705259</v>
      </c>
    </row>
    <row r="14" spans="2:11">
      <c r="B14" s="266" t="s">
        <v>567</v>
      </c>
      <c r="C14" s="253">
        <f>Parametros!C157</f>
        <v>11000000</v>
      </c>
      <c r="D14" s="253">
        <f>C9</f>
        <v>25305438.899999999</v>
      </c>
      <c r="E14" s="253">
        <f t="shared" ref="E14:K14" si="2">D9</f>
        <v>25873766.88806279</v>
      </c>
      <c r="F14" s="253">
        <f t="shared" si="2"/>
        <v>26490414.684443645</v>
      </c>
      <c r="G14" s="253">
        <f t="shared" si="2"/>
        <v>27046747.411773086</v>
      </c>
      <c r="H14" s="253">
        <f t="shared" si="2"/>
        <v>27640827.7706226</v>
      </c>
      <c r="I14" s="253">
        <f t="shared" si="2"/>
        <v>28405896.393095817</v>
      </c>
      <c r="J14" s="253">
        <f t="shared" si="2"/>
        <v>28986474.318646904</v>
      </c>
      <c r="K14" s="253">
        <f t="shared" si="2"/>
        <v>29608010.183067784</v>
      </c>
    </row>
    <row r="15" spans="2:11">
      <c r="B15" s="267" t="s">
        <v>568</v>
      </c>
      <c r="C15" s="268">
        <f>SUM(C12:C14)</f>
        <v>166447696.09999999</v>
      </c>
      <c r="D15" s="268">
        <f t="shared" ref="D15:K15" si="3">SUM(D12:D14)</f>
        <v>184244292.64095715</v>
      </c>
      <c r="E15" s="268">
        <f t="shared" si="3"/>
        <v>188600599.94964516</v>
      </c>
      <c r="F15" s="268">
        <f t="shared" si="3"/>
        <v>192634720.21390688</v>
      </c>
      <c r="G15" s="268">
        <f t="shared" si="3"/>
        <v>196840403.7170262</v>
      </c>
      <c r="H15" s="268">
        <f t="shared" si="3"/>
        <v>202134191.32821119</v>
      </c>
      <c r="I15" s="268">
        <f t="shared" si="3"/>
        <v>206465667.20764109</v>
      </c>
      <c r="J15" s="268">
        <f t="shared" si="3"/>
        <v>210864251.15749186</v>
      </c>
      <c r="K15" s="268">
        <f t="shared" si="3"/>
        <v>215188439.93639857</v>
      </c>
    </row>
    <row r="16" spans="2:11">
      <c r="B16" s="269"/>
      <c r="C16" s="59"/>
      <c r="D16" s="59"/>
      <c r="E16" s="59"/>
      <c r="F16" s="59"/>
      <c r="G16" s="59"/>
      <c r="H16" s="59"/>
      <c r="I16" s="59"/>
      <c r="J16" s="59"/>
      <c r="K16" s="59"/>
    </row>
    <row r="17" spans="2:11">
      <c r="B17" s="269"/>
      <c r="C17" s="59"/>
      <c r="D17" s="59"/>
      <c r="E17" s="59"/>
      <c r="F17" s="59"/>
      <c r="G17" s="59"/>
      <c r="H17" s="59"/>
      <c r="I17" s="59"/>
      <c r="J17" s="59"/>
      <c r="K17" s="59"/>
    </row>
    <row r="18" spans="2:11">
      <c r="B18" s="270" t="s">
        <v>299</v>
      </c>
      <c r="C18" s="271">
        <f>(1-Parametros!$C137) * C7</f>
        <v>125261922.55499998</v>
      </c>
      <c r="D18" s="271">
        <f>(1-Parametros!$C137) * D7</f>
        <v>128075146.0959108</v>
      </c>
      <c r="E18" s="271">
        <f>(1-Parametros!$C137) * E7</f>
        <v>131127552.68799603</v>
      </c>
      <c r="F18" s="271">
        <f>(1-Parametros!$C137) * F7</f>
        <v>133881399.68827677</v>
      </c>
      <c r="G18" s="271">
        <f>(1-Parametros!$C137) * G7</f>
        <v>136822097.46458188</v>
      </c>
      <c r="H18" s="271">
        <f>(1-Parametros!$C137) * H7</f>
        <v>140609187.14582428</v>
      </c>
      <c r="I18" s="271">
        <f>(1-Parametros!$C137) * I7</f>
        <v>143483047.87730217</v>
      </c>
      <c r="J18" s="271">
        <f>(1-Parametros!$C137) * J7</f>
        <v>146559650.40618551</v>
      </c>
      <c r="K18" s="271">
        <f>(1-Parametros!$C137) * K7</f>
        <v>149543299.78960258</v>
      </c>
    </row>
    <row r="19" spans="2:11">
      <c r="B19" s="174" t="s">
        <v>300</v>
      </c>
      <c r="C19" s="253">
        <f>(Parametros!$C137) * C7</f>
        <v>1265271.9449999998</v>
      </c>
      <c r="D19" s="253">
        <f>(Parametros!$C137) * D7</f>
        <v>1293688.3444031395</v>
      </c>
      <c r="E19" s="253">
        <f>(Parametros!$C137) * E7</f>
        <v>1324520.7342221823</v>
      </c>
      <c r="F19" s="253">
        <f>(Parametros!$C137) * F7</f>
        <v>1352337.3705886544</v>
      </c>
      <c r="G19" s="253">
        <f>(Parametros!$C137) * G7</f>
        <v>1382041.38853113</v>
      </c>
      <c r="H19" s="253">
        <f>(Parametros!$C137) * H7</f>
        <v>1420294.8196547907</v>
      </c>
      <c r="I19" s="253">
        <f>(Parametros!$C137) * I7</f>
        <v>1449323.715932345</v>
      </c>
      <c r="J19" s="253">
        <f>(Parametros!$C137) * J7</f>
        <v>1480400.5091533891</v>
      </c>
      <c r="K19" s="253">
        <f>(Parametros!$C137) * K7</f>
        <v>1510538.3817131573</v>
      </c>
    </row>
    <row r="20" spans="2:11">
      <c r="C20" s="253"/>
      <c r="D20" s="253"/>
      <c r="E20" s="253"/>
      <c r="F20" s="253"/>
      <c r="G20" s="253"/>
      <c r="H20" s="253"/>
      <c r="I20" s="253"/>
      <c r="J20" s="253"/>
      <c r="K20" s="253"/>
    </row>
    <row r="21" spans="2:11" ht="28">
      <c r="B21" s="272" t="s">
        <v>301</v>
      </c>
      <c r="C21" s="263">
        <f>(Parametros!$C138) * C18</f>
        <v>100209538.04399998</v>
      </c>
      <c r="D21" s="263">
        <f>(Parametros!$C138) * D18</f>
        <v>102460116.87672865</v>
      </c>
      <c r="E21" s="263">
        <f>(Parametros!$C138) * E18</f>
        <v>104902042.15039682</v>
      </c>
      <c r="F21" s="263">
        <f>(Parametros!$C138) * F18</f>
        <v>107105119.75062142</v>
      </c>
      <c r="G21" s="263">
        <f>(Parametros!$C138) * G18</f>
        <v>109457677.9716655</v>
      </c>
      <c r="H21" s="263">
        <f>(Parametros!$C138) * H18</f>
        <v>112487349.71665943</v>
      </c>
      <c r="I21" s="263">
        <f>(Parametros!$C138) * I18</f>
        <v>114786438.30184174</v>
      </c>
      <c r="J21" s="263">
        <f>(Parametros!$C138) * J18</f>
        <v>117247720.32494842</v>
      </c>
      <c r="K21" s="263">
        <f>(Parametros!$C138) * K18</f>
        <v>119634639.83168207</v>
      </c>
    </row>
    <row r="22" spans="2:11">
      <c r="B22" s="174" t="s">
        <v>302</v>
      </c>
      <c r="C22" s="273">
        <f>Parametros!C157</f>
        <v>11000000</v>
      </c>
      <c r="D22" s="253">
        <f>(Parametros!$C139) * C18</f>
        <v>25052384.510999996</v>
      </c>
      <c r="E22" s="253">
        <f>(Parametros!$C139) * D18</f>
        <v>25615029.219182163</v>
      </c>
      <c r="F22" s="253">
        <f>(Parametros!$C139) * E18</f>
        <v>26225510.537599206</v>
      </c>
      <c r="G22" s="253">
        <f>(Parametros!$C139) * F18</f>
        <v>26776279.937655356</v>
      </c>
      <c r="H22" s="253">
        <f>(Parametros!$C139) * G18</f>
        <v>27364419.492916375</v>
      </c>
      <c r="I22" s="253">
        <f>(Parametros!$C139) * H18</f>
        <v>28121837.429164857</v>
      </c>
      <c r="J22" s="253">
        <f>(Parametros!$C139) * I18</f>
        <v>28696609.575460434</v>
      </c>
      <c r="K22" s="253">
        <f>(Parametros!$C139) * J18</f>
        <v>29311930.081237104</v>
      </c>
    </row>
    <row r="23" spans="2:11">
      <c r="B23" s="174" t="s">
        <v>303</v>
      </c>
      <c r="C23" s="253">
        <f>C21+C22</f>
        <v>111209538.04399998</v>
      </c>
      <c r="D23" s="253">
        <f t="shared" ref="D23:K23" si="4">D21+D22</f>
        <v>127512501.38772865</v>
      </c>
      <c r="E23" s="253">
        <f t="shared" si="4"/>
        <v>130517071.36957899</v>
      </c>
      <c r="F23" s="253">
        <f t="shared" si="4"/>
        <v>133330630.28822063</v>
      </c>
      <c r="G23" s="253">
        <f t="shared" si="4"/>
        <v>136233957.90932086</v>
      </c>
      <c r="H23" s="253">
        <f t="shared" si="4"/>
        <v>139851769.2095758</v>
      </c>
      <c r="I23" s="253">
        <f t="shared" si="4"/>
        <v>142908275.73100659</v>
      </c>
      <c r="J23" s="253">
        <f t="shared" si="4"/>
        <v>145944329.90040886</v>
      </c>
      <c r="K23" s="253">
        <f t="shared" si="4"/>
        <v>148946569.91291916</v>
      </c>
    </row>
    <row r="24" spans="2:11">
      <c r="B24" s="68"/>
      <c r="C24" s="253"/>
      <c r="D24" s="253"/>
      <c r="E24" s="253"/>
      <c r="F24" s="253"/>
      <c r="G24" s="253"/>
      <c r="H24" s="253"/>
      <c r="I24" s="253"/>
      <c r="J24" s="253"/>
      <c r="K24" s="253"/>
    </row>
    <row r="25" spans="2:11">
      <c r="B25" s="174" t="s">
        <v>304</v>
      </c>
      <c r="C25" s="253">
        <f>C22+C21+C6</f>
        <v>165435478.54399997</v>
      </c>
      <c r="D25" s="253">
        <f t="shared" ref="D25:K25" si="5">D22+D21+D6</f>
        <v>182956287.57643461</v>
      </c>
      <c r="E25" s="253">
        <f t="shared" si="5"/>
        <v>187282245.69338679</v>
      </c>
      <c r="F25" s="253">
        <f t="shared" si="5"/>
        <v>191287946.17059153</v>
      </c>
      <c r="G25" s="253">
        <f t="shared" si="5"/>
        <v>195464303.13208359</v>
      </c>
      <c r="H25" s="253">
        <f t="shared" si="5"/>
        <v>200721547.19478112</v>
      </c>
      <c r="I25" s="253">
        <f t="shared" si="5"/>
        <v>205022149.27096424</v>
      </c>
      <c r="J25" s="253">
        <f t="shared" si="5"/>
        <v>209390066.00698268</v>
      </c>
      <c r="K25" s="253">
        <f t="shared" si="5"/>
        <v>213683929.12919733</v>
      </c>
    </row>
    <row r="26" spans="2:11">
      <c r="B26" s="174" t="s">
        <v>305</v>
      </c>
      <c r="C26" s="253">
        <f>C18-C23</f>
        <v>14052384.510999992</v>
      </c>
      <c r="D26" s="253">
        <f>C26+D18-D23</f>
        <v>14615029.219182149</v>
      </c>
      <c r="E26" s="253">
        <f t="shared" ref="E26:K26" si="6">D26+E18-E23</f>
        <v>15225510.537599176</v>
      </c>
      <c r="F26" s="253">
        <f t="shared" si="6"/>
        <v>15776279.937655315</v>
      </c>
      <c r="G26" s="253">
        <f t="shared" si="6"/>
        <v>16364419.492916316</v>
      </c>
      <c r="H26" s="253">
        <f t="shared" si="6"/>
        <v>17121837.429164797</v>
      </c>
      <c r="I26" s="253">
        <f t="shared" si="6"/>
        <v>17696609.575460374</v>
      </c>
      <c r="J26" s="253">
        <f t="shared" si="6"/>
        <v>18311930.081237018</v>
      </c>
      <c r="K26" s="253">
        <f t="shared" si="6"/>
        <v>18908659.957920432</v>
      </c>
    </row>
  </sheetData>
  <mergeCells count="1">
    <mergeCell ref="B2:E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1"/>
  <sheetViews>
    <sheetView topLeftCell="A152" workbookViewId="0">
      <selection activeCell="C199" sqref="C199"/>
    </sheetView>
  </sheetViews>
  <sheetFormatPr baseColWidth="10" defaultRowHeight="15" x14ac:dyDescent="0"/>
  <cols>
    <col min="2" max="2" width="46.5" customWidth="1"/>
    <col min="3" max="3" width="20.1640625" customWidth="1"/>
    <col min="4" max="4" width="18.83203125" customWidth="1"/>
    <col min="5" max="5" width="13.1640625" customWidth="1"/>
    <col min="6" max="6" width="14.6640625" customWidth="1"/>
    <col min="7" max="7" width="15" customWidth="1"/>
    <col min="8" max="8" width="16.1640625" customWidth="1"/>
    <col min="9" max="10" width="16" customWidth="1"/>
    <col min="11" max="11" width="20.1640625" customWidth="1"/>
  </cols>
  <sheetData>
    <row r="2" spans="2:7" ht="18">
      <c r="B2" s="28" t="s">
        <v>23</v>
      </c>
    </row>
    <row r="3" spans="2:7">
      <c r="B3" s="9"/>
    </row>
    <row r="4" spans="2:7">
      <c r="B4" s="9" t="s">
        <v>24</v>
      </c>
    </row>
    <row r="6" spans="2:7" s="1" customFormat="1" ht="57" customHeight="1">
      <c r="B6" s="106" t="s">
        <v>2</v>
      </c>
      <c r="C6" s="106" t="s">
        <v>3</v>
      </c>
      <c r="D6" s="106" t="s">
        <v>26</v>
      </c>
    </row>
    <row r="7" spans="2:7">
      <c r="B7" s="16" t="s">
        <v>25</v>
      </c>
      <c r="C7" s="111" t="s">
        <v>484</v>
      </c>
      <c r="D7" s="113">
        <v>100</v>
      </c>
    </row>
    <row r="8" spans="2:7">
      <c r="B8" s="16" t="s">
        <v>0</v>
      </c>
      <c r="C8" s="111" t="s">
        <v>484</v>
      </c>
      <c r="D8" s="113">
        <v>95</v>
      </c>
    </row>
    <row r="9" spans="2:7">
      <c r="B9" s="16" t="s">
        <v>1</v>
      </c>
      <c r="C9" s="111" t="s">
        <v>484</v>
      </c>
      <c r="D9" s="113">
        <v>90</v>
      </c>
    </row>
    <row r="10" spans="2:7">
      <c r="B10" s="9"/>
      <c r="G10" s="14"/>
    </row>
    <row r="11" spans="2:7" ht="18">
      <c r="E11" s="314" t="s">
        <v>30</v>
      </c>
      <c r="F11" s="315"/>
    </row>
    <row r="12" spans="2:7" ht="36">
      <c r="B12" s="106" t="s">
        <v>2</v>
      </c>
      <c r="C12" s="106" t="s">
        <v>3</v>
      </c>
      <c r="D12" s="106" t="s">
        <v>80</v>
      </c>
      <c r="E12" s="106" t="s">
        <v>27</v>
      </c>
      <c r="F12" s="106" t="s">
        <v>28</v>
      </c>
      <c r="G12" s="106" t="s">
        <v>491</v>
      </c>
    </row>
    <row r="13" spans="2:7">
      <c r="B13" s="16" t="s">
        <v>25</v>
      </c>
      <c r="C13" s="111" t="s">
        <v>484</v>
      </c>
      <c r="D13" s="112">
        <v>730000</v>
      </c>
      <c r="E13" s="112">
        <v>60000</v>
      </c>
      <c r="F13" s="112">
        <f>E13*D7</f>
        <v>6000000</v>
      </c>
      <c r="G13" s="240">
        <v>30</v>
      </c>
    </row>
    <row r="14" spans="2:7" ht="18" customHeight="1">
      <c r="B14" s="16" t="s">
        <v>0</v>
      </c>
      <c r="C14" s="111" t="s">
        <v>484</v>
      </c>
      <c r="D14" s="112">
        <v>620000</v>
      </c>
      <c r="E14" s="112">
        <v>42000</v>
      </c>
      <c r="F14" s="112">
        <f>E14*D8</f>
        <v>3990000</v>
      </c>
      <c r="G14" s="240">
        <v>25</v>
      </c>
    </row>
    <row r="15" spans="2:7">
      <c r="B15" s="16" t="s">
        <v>1</v>
      </c>
      <c r="C15" s="111" t="s">
        <v>484</v>
      </c>
      <c r="D15" s="112">
        <v>500000</v>
      </c>
      <c r="E15" s="112">
        <v>28000</v>
      </c>
      <c r="F15" s="112">
        <f>E15*D9</f>
        <v>2520000</v>
      </c>
      <c r="G15" s="240">
        <v>20</v>
      </c>
    </row>
    <row r="18" spans="2:10">
      <c r="B18" s="9" t="s">
        <v>29</v>
      </c>
    </row>
    <row r="19" spans="2:10" ht="18">
      <c r="E19" s="314" t="s">
        <v>30</v>
      </c>
      <c r="F19" s="315"/>
    </row>
    <row r="20" spans="2:10" ht="36">
      <c r="B20" s="106" t="s">
        <v>31</v>
      </c>
      <c r="C20" s="106" t="s">
        <v>3</v>
      </c>
      <c r="D20" s="106" t="s">
        <v>44</v>
      </c>
      <c r="E20" s="106" t="s">
        <v>30</v>
      </c>
      <c r="F20" s="106" t="s">
        <v>45</v>
      </c>
      <c r="G20" s="106" t="s">
        <v>491</v>
      </c>
    </row>
    <row r="21" spans="2:10">
      <c r="B21" s="17" t="s">
        <v>32</v>
      </c>
      <c r="C21" s="111" t="s">
        <v>40</v>
      </c>
      <c r="D21" s="154">
        <v>3.4</v>
      </c>
      <c r="E21" s="112">
        <v>455000</v>
      </c>
      <c r="F21" s="112">
        <f t="shared" ref="F21:F29" si="0">E21*D21</f>
        <v>1547000</v>
      </c>
      <c r="G21" s="240">
        <v>30</v>
      </c>
      <c r="I21" s="14"/>
      <c r="J21" s="14"/>
    </row>
    <row r="22" spans="2:10">
      <c r="B22" s="17" t="s">
        <v>33</v>
      </c>
      <c r="C22" s="111" t="s">
        <v>40</v>
      </c>
      <c r="D22" s="154">
        <v>2.5</v>
      </c>
      <c r="E22" s="112">
        <v>692000</v>
      </c>
      <c r="F22" s="112">
        <f t="shared" si="0"/>
        <v>1730000</v>
      </c>
      <c r="G22" s="240">
        <v>30</v>
      </c>
      <c r="I22" s="14"/>
      <c r="J22" s="14"/>
    </row>
    <row r="23" spans="2:10">
      <c r="B23" s="17" t="s">
        <v>34</v>
      </c>
      <c r="C23" s="111" t="s">
        <v>109</v>
      </c>
      <c r="D23" s="154">
        <v>0.25</v>
      </c>
      <c r="E23" s="112">
        <v>60000</v>
      </c>
      <c r="F23" s="112">
        <f t="shared" si="0"/>
        <v>15000</v>
      </c>
      <c r="G23" s="240">
        <v>10</v>
      </c>
      <c r="I23" s="14"/>
      <c r="J23" s="14"/>
    </row>
    <row r="24" spans="2:10">
      <c r="B24" s="17" t="s">
        <v>35</v>
      </c>
      <c r="C24" s="111" t="s">
        <v>40</v>
      </c>
      <c r="D24" s="154">
        <v>4</v>
      </c>
      <c r="E24" s="112">
        <v>160000</v>
      </c>
      <c r="F24" s="112">
        <f t="shared" si="0"/>
        <v>640000</v>
      </c>
      <c r="G24" s="240">
        <v>30</v>
      </c>
      <c r="I24" s="14"/>
      <c r="J24" s="14"/>
    </row>
    <row r="25" spans="2:10">
      <c r="B25" s="17" t="s">
        <v>36</v>
      </c>
      <c r="C25" s="111" t="s">
        <v>41</v>
      </c>
      <c r="D25" s="154">
        <v>3</v>
      </c>
      <c r="E25" s="112">
        <v>120000</v>
      </c>
      <c r="F25" s="112">
        <f t="shared" si="0"/>
        <v>360000</v>
      </c>
      <c r="G25" s="240">
        <v>30</v>
      </c>
      <c r="I25" s="14"/>
      <c r="J25" s="14"/>
    </row>
    <row r="26" spans="2:10">
      <c r="B26" s="17" t="s">
        <v>39</v>
      </c>
      <c r="C26" s="111" t="s">
        <v>40</v>
      </c>
      <c r="D26" s="154">
        <v>20</v>
      </c>
      <c r="E26" s="112">
        <v>93000</v>
      </c>
      <c r="F26" s="112">
        <f t="shared" si="0"/>
        <v>1860000</v>
      </c>
      <c r="G26" s="240">
        <v>30</v>
      </c>
      <c r="I26" s="14"/>
      <c r="J26" s="14"/>
    </row>
    <row r="27" spans="2:10">
      <c r="B27" s="17" t="s">
        <v>42</v>
      </c>
      <c r="C27" s="111" t="s">
        <v>40</v>
      </c>
      <c r="D27" s="154">
        <v>13</v>
      </c>
      <c r="E27" s="112">
        <v>28000</v>
      </c>
      <c r="F27" s="112">
        <f t="shared" si="0"/>
        <v>364000</v>
      </c>
      <c r="G27" s="240">
        <v>30</v>
      </c>
      <c r="I27" s="14"/>
      <c r="J27" s="14"/>
    </row>
    <row r="28" spans="2:10">
      <c r="B28" s="17" t="s">
        <v>43</v>
      </c>
      <c r="C28" s="111" t="s">
        <v>40</v>
      </c>
      <c r="D28" s="154">
        <v>15</v>
      </c>
      <c r="E28" s="112">
        <v>15000</v>
      </c>
      <c r="F28" s="112">
        <f t="shared" si="0"/>
        <v>225000</v>
      </c>
      <c r="G28" s="240">
        <v>20</v>
      </c>
      <c r="I28" s="14"/>
      <c r="J28" s="14"/>
    </row>
    <row r="29" spans="2:10">
      <c r="B29" s="17" t="s">
        <v>37</v>
      </c>
      <c r="C29" s="111" t="s">
        <v>41</v>
      </c>
      <c r="D29" s="154">
        <v>20</v>
      </c>
      <c r="E29" s="112">
        <v>10000</v>
      </c>
      <c r="F29" s="112">
        <f t="shared" si="0"/>
        <v>200000</v>
      </c>
      <c r="G29" s="240">
        <v>30</v>
      </c>
      <c r="I29" s="14"/>
      <c r="J29" s="14"/>
    </row>
    <row r="30" spans="2:10">
      <c r="B30" s="9"/>
    </row>
    <row r="31" spans="2:10">
      <c r="B31" s="9" t="s">
        <v>49</v>
      </c>
    </row>
    <row r="32" spans="2:10">
      <c r="B32" s="9"/>
    </row>
    <row r="33" spans="2:11" ht="58" customHeight="1">
      <c r="B33" s="106" t="s">
        <v>2</v>
      </c>
      <c r="C33" s="106" t="s">
        <v>3</v>
      </c>
      <c r="D33" s="106" t="s">
        <v>13</v>
      </c>
      <c r="E33" s="201" t="s">
        <v>401</v>
      </c>
      <c r="F33" s="202" t="s">
        <v>402</v>
      </c>
      <c r="G33" s="202" t="s">
        <v>403</v>
      </c>
      <c r="H33" s="202" t="s">
        <v>48</v>
      </c>
      <c r="I33" s="251" t="s">
        <v>552</v>
      </c>
      <c r="J33" s="251" t="s">
        <v>553</v>
      </c>
      <c r="K33" s="251" t="s">
        <v>554</v>
      </c>
    </row>
    <row r="34" spans="2:11">
      <c r="B34" s="17" t="s">
        <v>7</v>
      </c>
      <c r="C34" s="111" t="s">
        <v>47</v>
      </c>
      <c r="D34" s="112">
        <v>90</v>
      </c>
      <c r="E34" s="208">
        <v>9</v>
      </c>
      <c r="F34" s="209">
        <v>176</v>
      </c>
      <c r="G34" s="209">
        <v>1936</v>
      </c>
      <c r="H34" s="210">
        <v>7</v>
      </c>
      <c r="I34" s="209">
        <v>30</v>
      </c>
      <c r="J34" s="209">
        <v>30</v>
      </c>
      <c r="K34" s="209">
        <v>30</v>
      </c>
    </row>
    <row r="35" spans="2:11">
      <c r="B35" s="17" t="s">
        <v>46</v>
      </c>
      <c r="C35" s="111" t="s">
        <v>47</v>
      </c>
      <c r="D35" s="112">
        <v>30</v>
      </c>
      <c r="E35" s="208">
        <v>10</v>
      </c>
      <c r="F35" s="209">
        <v>176</v>
      </c>
      <c r="G35" s="209">
        <v>1936</v>
      </c>
      <c r="H35" s="210">
        <v>8</v>
      </c>
      <c r="I35" s="209">
        <v>10</v>
      </c>
      <c r="J35" s="209">
        <v>10</v>
      </c>
      <c r="K35" s="209">
        <v>10</v>
      </c>
    </row>
    <row r="36" spans="2:11">
      <c r="B36" s="17" t="s">
        <v>22</v>
      </c>
      <c r="C36" s="111" t="s">
        <v>47</v>
      </c>
      <c r="D36" s="112">
        <v>90</v>
      </c>
      <c r="E36" s="208">
        <v>8</v>
      </c>
      <c r="F36" s="209">
        <v>176</v>
      </c>
      <c r="G36" s="209">
        <v>1936</v>
      </c>
      <c r="H36" s="210">
        <v>6</v>
      </c>
      <c r="I36" s="209">
        <v>30</v>
      </c>
      <c r="J36" s="209">
        <v>30</v>
      </c>
      <c r="K36" s="209">
        <v>30</v>
      </c>
    </row>
    <row r="37" spans="2:11">
      <c r="B37" s="9"/>
      <c r="C37" s="213" t="s">
        <v>12</v>
      </c>
      <c r="D37" s="214">
        <f>SUM(D34:D36)</f>
        <v>210</v>
      </c>
    </row>
    <row r="38" spans="2:11">
      <c r="B38" s="9" t="s">
        <v>50</v>
      </c>
    </row>
    <row r="39" spans="2:11">
      <c r="B39" s="9"/>
    </row>
    <row r="40" spans="2:11" ht="54">
      <c r="B40" s="106" t="s">
        <v>2</v>
      </c>
      <c r="C40" s="106" t="s">
        <v>270</v>
      </c>
      <c r="D40" s="106" t="s">
        <v>271</v>
      </c>
      <c r="E40" s="106" t="s">
        <v>272</v>
      </c>
      <c r="F40" s="106" t="s">
        <v>273</v>
      </c>
      <c r="G40" s="106" t="s">
        <v>274</v>
      </c>
      <c r="H40" s="106" t="s">
        <v>275</v>
      </c>
      <c r="I40" s="106" t="s">
        <v>276</v>
      </c>
      <c r="J40" s="106" t="s">
        <v>277</v>
      </c>
    </row>
    <row r="41" spans="2:11">
      <c r="B41" s="157" t="s">
        <v>56</v>
      </c>
      <c r="C41" s="237">
        <v>6</v>
      </c>
      <c r="D41" s="112">
        <v>832500</v>
      </c>
      <c r="E41" s="11">
        <f>C41*D41</f>
        <v>4995000</v>
      </c>
      <c r="F41" s="112">
        <v>10</v>
      </c>
      <c r="G41" s="112">
        <v>10</v>
      </c>
      <c r="H41" s="113">
        <v>0.05</v>
      </c>
      <c r="I41" s="11">
        <f>H41*E41</f>
        <v>249750</v>
      </c>
      <c r="J41" s="112">
        <f>D41*3%</f>
        <v>24975</v>
      </c>
    </row>
    <row r="42" spans="2:11">
      <c r="B42" s="157" t="s">
        <v>57</v>
      </c>
      <c r="C42" s="237">
        <v>10</v>
      </c>
      <c r="D42" s="112">
        <v>222000</v>
      </c>
      <c r="E42" s="11">
        <f t="shared" ref="E42:E47" si="1">C42*D42</f>
        <v>2220000</v>
      </c>
      <c r="F42" s="112">
        <v>5</v>
      </c>
      <c r="G42" s="112">
        <v>10</v>
      </c>
      <c r="H42" s="113">
        <v>0.1</v>
      </c>
      <c r="I42" s="11">
        <f t="shared" ref="I42:I47" si="2">H42*E42</f>
        <v>222000</v>
      </c>
      <c r="J42" s="112">
        <f t="shared" ref="J42:J49" si="3">D42*3%</f>
        <v>6660</v>
      </c>
    </row>
    <row r="43" spans="2:11">
      <c r="B43" s="157" t="s">
        <v>58</v>
      </c>
      <c r="C43" s="237">
        <v>6</v>
      </c>
      <c r="D43" s="112">
        <v>908350</v>
      </c>
      <c r="E43" s="11">
        <f t="shared" si="1"/>
        <v>5450100</v>
      </c>
      <c r="F43" s="112">
        <v>10</v>
      </c>
      <c r="G43" s="112">
        <v>10</v>
      </c>
      <c r="H43" s="113">
        <v>0.05</v>
      </c>
      <c r="I43" s="11">
        <f t="shared" si="2"/>
        <v>272505</v>
      </c>
      <c r="J43" s="112">
        <f t="shared" si="3"/>
        <v>27250.5</v>
      </c>
    </row>
    <row r="44" spans="2:11">
      <c r="B44" s="157" t="s">
        <v>59</v>
      </c>
      <c r="C44" s="237">
        <v>6</v>
      </c>
      <c r="D44" s="112">
        <v>21275</v>
      </c>
      <c r="E44" s="11">
        <f t="shared" si="1"/>
        <v>127650</v>
      </c>
      <c r="F44" s="112">
        <v>5</v>
      </c>
      <c r="G44" s="112">
        <v>10</v>
      </c>
      <c r="H44" s="113">
        <v>0.1</v>
      </c>
      <c r="I44" s="11">
        <f t="shared" si="2"/>
        <v>12765</v>
      </c>
      <c r="J44" s="112">
        <f t="shared" si="3"/>
        <v>638.25</v>
      </c>
    </row>
    <row r="45" spans="2:11">
      <c r="B45" s="157" t="s">
        <v>60</v>
      </c>
      <c r="C45" s="237">
        <v>10</v>
      </c>
      <c r="D45" s="112">
        <v>64750</v>
      </c>
      <c r="E45" s="11">
        <f t="shared" si="1"/>
        <v>647500</v>
      </c>
      <c r="F45" s="112">
        <v>5</v>
      </c>
      <c r="G45" s="112">
        <v>10</v>
      </c>
      <c r="H45" s="113">
        <v>0.1</v>
      </c>
      <c r="I45" s="11">
        <f t="shared" si="2"/>
        <v>64750</v>
      </c>
      <c r="J45" s="112">
        <f t="shared" si="3"/>
        <v>1942.5</v>
      </c>
    </row>
    <row r="46" spans="2:11">
      <c r="B46" s="157" t="s">
        <v>61</v>
      </c>
      <c r="C46" s="237">
        <v>6</v>
      </c>
      <c r="D46" s="112">
        <v>369075</v>
      </c>
      <c r="E46" s="11">
        <f t="shared" si="1"/>
        <v>2214450</v>
      </c>
      <c r="F46" s="112">
        <v>10</v>
      </c>
      <c r="G46" s="112">
        <v>10</v>
      </c>
      <c r="H46" s="113">
        <v>0.05</v>
      </c>
      <c r="I46" s="11">
        <f t="shared" si="2"/>
        <v>110722.5</v>
      </c>
      <c r="J46" s="112">
        <f t="shared" si="3"/>
        <v>11072.25</v>
      </c>
    </row>
    <row r="47" spans="2:11">
      <c r="B47" s="157" t="s">
        <v>62</v>
      </c>
      <c r="C47" s="237">
        <v>8</v>
      </c>
      <c r="D47" s="112">
        <v>502275</v>
      </c>
      <c r="E47" s="11">
        <f t="shared" si="1"/>
        <v>4018200</v>
      </c>
      <c r="F47" s="112">
        <v>10</v>
      </c>
      <c r="G47" s="112">
        <v>10</v>
      </c>
      <c r="H47" s="113">
        <v>0.05</v>
      </c>
      <c r="I47" s="11">
        <f t="shared" si="2"/>
        <v>200910</v>
      </c>
      <c r="J47" s="112">
        <f t="shared" si="3"/>
        <v>15068.25</v>
      </c>
    </row>
    <row r="48" spans="2:11">
      <c r="B48" s="157" t="s">
        <v>63</v>
      </c>
      <c r="C48" s="237">
        <v>4</v>
      </c>
      <c r="D48" s="112">
        <v>292762.5</v>
      </c>
      <c r="E48" s="11">
        <f>C48*D48</f>
        <v>1171050</v>
      </c>
      <c r="F48" s="112">
        <v>10</v>
      </c>
      <c r="G48" s="112">
        <v>10</v>
      </c>
      <c r="H48" s="113">
        <v>0.05</v>
      </c>
      <c r="I48" s="11">
        <f>H48*E48</f>
        <v>58552.5</v>
      </c>
      <c r="J48" s="112">
        <f t="shared" si="3"/>
        <v>8782.875</v>
      </c>
    </row>
    <row r="49" spans="2:10">
      <c r="B49" s="157" t="s">
        <v>64</v>
      </c>
      <c r="C49" s="237">
        <v>8</v>
      </c>
      <c r="D49" s="112">
        <v>12000</v>
      </c>
      <c r="E49" s="11">
        <f>C49*D49</f>
        <v>96000</v>
      </c>
      <c r="F49" s="112">
        <v>4</v>
      </c>
      <c r="G49" s="112">
        <v>10</v>
      </c>
      <c r="H49" s="113">
        <v>0.125</v>
      </c>
      <c r="I49" s="11">
        <f>H49*E49</f>
        <v>12000</v>
      </c>
      <c r="J49" s="112">
        <f t="shared" si="3"/>
        <v>360</v>
      </c>
    </row>
    <row r="50" spans="2:10">
      <c r="B50" s="10"/>
      <c r="C50" s="10"/>
      <c r="D50" s="10"/>
      <c r="E50" s="122">
        <f>SUM(E41:E49)</f>
        <v>20939950</v>
      </c>
      <c r="F50" s="10"/>
      <c r="G50" s="10"/>
      <c r="H50" s="10"/>
      <c r="I50" s="10"/>
    </row>
    <row r="51" spans="2:10">
      <c r="B51" s="9"/>
    </row>
    <row r="52" spans="2:10" ht="15" customHeight="1">
      <c r="B52" s="9"/>
    </row>
    <row r="53" spans="2:10" ht="15" customHeight="1">
      <c r="B53" s="9" t="s">
        <v>51</v>
      </c>
    </row>
    <row r="54" spans="2:10" ht="14" customHeight="1">
      <c r="B54" s="9"/>
    </row>
    <row r="55" spans="2:10" ht="36" customHeight="1">
      <c r="B55" s="106" t="s">
        <v>2</v>
      </c>
      <c r="C55" s="106" t="s">
        <v>65</v>
      </c>
      <c r="D55" s="106" t="s">
        <v>66</v>
      </c>
      <c r="E55" s="106" t="s">
        <v>67</v>
      </c>
      <c r="F55" s="106" t="s">
        <v>68</v>
      </c>
      <c r="G55" s="106" t="s">
        <v>133</v>
      </c>
      <c r="H55" s="106" t="s">
        <v>69</v>
      </c>
      <c r="I55" s="106" t="s">
        <v>55</v>
      </c>
    </row>
    <row r="56" spans="2:10" ht="14" customHeight="1">
      <c r="B56" s="12" t="s">
        <v>70</v>
      </c>
      <c r="C56" s="112">
        <v>2000</v>
      </c>
      <c r="D56" s="112">
        <v>3000</v>
      </c>
      <c r="E56" s="13">
        <f>C56*D56</f>
        <v>6000000</v>
      </c>
      <c r="F56" s="112">
        <v>19</v>
      </c>
      <c r="G56" s="112" t="s">
        <v>294</v>
      </c>
      <c r="H56" s="114">
        <v>0</v>
      </c>
      <c r="I56" s="11">
        <v>0</v>
      </c>
    </row>
    <row r="57" spans="2:10" ht="14" customHeight="1">
      <c r="B57" s="12" t="s">
        <v>71</v>
      </c>
      <c r="C57" s="112">
        <v>4000</v>
      </c>
      <c r="D57" s="112">
        <v>3000</v>
      </c>
      <c r="E57" s="13">
        <f t="shared" ref="E57:E59" si="4">C57*D57</f>
        <v>12000000</v>
      </c>
      <c r="F57" s="112">
        <v>19</v>
      </c>
      <c r="G57" s="112" t="s">
        <v>294</v>
      </c>
      <c r="H57" s="114">
        <v>0</v>
      </c>
      <c r="I57" s="11">
        <v>0</v>
      </c>
    </row>
    <row r="58" spans="2:10" ht="17" customHeight="1">
      <c r="B58" s="12" t="s">
        <v>72</v>
      </c>
      <c r="C58" s="112">
        <v>2500</v>
      </c>
      <c r="D58" s="112">
        <v>5000</v>
      </c>
      <c r="E58" s="13">
        <f t="shared" si="4"/>
        <v>12500000</v>
      </c>
      <c r="F58" s="112">
        <v>19</v>
      </c>
      <c r="G58" s="112">
        <v>33</v>
      </c>
      <c r="H58" s="114">
        <v>0.03</v>
      </c>
      <c r="I58" s="11">
        <v>22727</v>
      </c>
    </row>
    <row r="59" spans="2:10" ht="17" customHeight="1">
      <c r="B59" s="12" t="s">
        <v>73</v>
      </c>
      <c r="C59" s="112">
        <v>4000</v>
      </c>
      <c r="D59" s="112">
        <v>4000</v>
      </c>
      <c r="E59" s="13">
        <f t="shared" si="4"/>
        <v>16000000</v>
      </c>
      <c r="F59" s="112">
        <v>19</v>
      </c>
      <c r="G59" s="112">
        <v>33</v>
      </c>
      <c r="H59" s="114">
        <v>0.03</v>
      </c>
      <c r="I59" s="11">
        <v>60606</v>
      </c>
    </row>
    <row r="60" spans="2:10" ht="17" customHeight="1">
      <c r="B60" s="9"/>
      <c r="G60" s="10"/>
      <c r="H60" s="10"/>
      <c r="I60" s="60"/>
      <c r="J60" s="10"/>
    </row>
    <row r="61" spans="2:10">
      <c r="B61" s="9" t="s">
        <v>52</v>
      </c>
      <c r="G61" s="10"/>
      <c r="H61" s="10"/>
      <c r="I61" s="10"/>
      <c r="J61" s="10"/>
    </row>
    <row r="62" spans="2:10">
      <c r="B62" s="9"/>
      <c r="G62" s="10"/>
      <c r="H62" s="10"/>
      <c r="I62" s="10"/>
      <c r="J62" s="10"/>
    </row>
    <row r="63" spans="2:10" ht="54">
      <c r="B63" s="106" t="s">
        <v>2</v>
      </c>
      <c r="C63" s="106" t="s">
        <v>13</v>
      </c>
      <c r="D63" s="106" t="s">
        <v>74</v>
      </c>
      <c r="E63" s="106" t="s">
        <v>75</v>
      </c>
      <c r="F63" s="106" t="s">
        <v>68</v>
      </c>
      <c r="G63" s="106" t="s">
        <v>133</v>
      </c>
      <c r="H63" s="106" t="s">
        <v>69</v>
      </c>
      <c r="I63" s="106" t="s">
        <v>55</v>
      </c>
    </row>
    <row r="64" spans="2:10">
      <c r="B64" s="12" t="s">
        <v>76</v>
      </c>
      <c r="C64" s="118">
        <v>20</v>
      </c>
      <c r="D64" s="118">
        <v>2000</v>
      </c>
      <c r="E64" s="13">
        <f>D64*C64</f>
        <v>40000</v>
      </c>
      <c r="F64" s="115">
        <v>2</v>
      </c>
      <c r="G64" s="116">
        <v>4</v>
      </c>
      <c r="H64" s="117">
        <v>0.25</v>
      </c>
      <c r="I64" s="11">
        <v>10000</v>
      </c>
    </row>
    <row r="65" spans="2:10">
      <c r="B65" s="12" t="s">
        <v>77</v>
      </c>
      <c r="C65" s="118">
        <v>20</v>
      </c>
      <c r="D65" s="118">
        <v>2000</v>
      </c>
      <c r="E65" s="13">
        <f>D65*C65</f>
        <v>40000</v>
      </c>
      <c r="F65" s="115">
        <v>2</v>
      </c>
      <c r="G65" s="116">
        <v>4</v>
      </c>
      <c r="H65" s="117">
        <v>0.25</v>
      </c>
      <c r="I65" s="11">
        <v>2500</v>
      </c>
    </row>
    <row r="66" spans="2:10">
      <c r="B66" s="9"/>
      <c r="G66" s="10"/>
      <c r="H66" s="10"/>
      <c r="I66" s="10"/>
      <c r="J66" s="10"/>
    </row>
    <row r="67" spans="2:10">
      <c r="B67" s="9"/>
      <c r="G67" s="10"/>
      <c r="H67" s="10"/>
      <c r="I67" s="10"/>
      <c r="J67" s="10"/>
    </row>
    <row r="68" spans="2:10">
      <c r="B68" s="9" t="s">
        <v>53</v>
      </c>
      <c r="G68" s="10"/>
      <c r="H68" s="10"/>
      <c r="I68" s="10"/>
      <c r="J68" s="10"/>
    </row>
    <row r="69" spans="2:10">
      <c r="B69" s="9"/>
      <c r="G69" s="10"/>
      <c r="H69" s="10"/>
      <c r="I69" s="10"/>
      <c r="J69" s="10"/>
    </row>
    <row r="70" spans="2:10" ht="54">
      <c r="B70" s="106" t="s">
        <v>2</v>
      </c>
      <c r="C70" s="106" t="s">
        <v>13</v>
      </c>
      <c r="D70" s="106" t="s">
        <v>74</v>
      </c>
      <c r="E70" s="106" t="s">
        <v>75</v>
      </c>
      <c r="F70" s="106" t="s">
        <v>68</v>
      </c>
      <c r="G70" s="106" t="s">
        <v>133</v>
      </c>
      <c r="H70" s="106" t="s">
        <v>69</v>
      </c>
      <c r="I70" s="106" t="s">
        <v>55</v>
      </c>
    </row>
    <row r="71" spans="2:10">
      <c r="B71" s="12" t="s">
        <v>78</v>
      </c>
      <c r="C71" s="118">
        <v>10</v>
      </c>
      <c r="D71" s="118">
        <v>50000</v>
      </c>
      <c r="E71" s="13">
        <f>D71*C71</f>
        <v>500000</v>
      </c>
      <c r="F71" s="115">
        <v>3</v>
      </c>
      <c r="G71" s="116">
        <v>5</v>
      </c>
      <c r="H71" s="117">
        <v>0.2</v>
      </c>
      <c r="I71" s="11">
        <v>100000</v>
      </c>
    </row>
    <row r="72" spans="2:10">
      <c r="B72" s="9"/>
      <c r="G72" s="10"/>
      <c r="H72" s="10"/>
      <c r="I72" s="10"/>
      <c r="J72" s="10"/>
    </row>
    <row r="73" spans="2:10">
      <c r="B73" s="9"/>
      <c r="G73" s="10"/>
      <c r="H73" s="10"/>
      <c r="I73" s="10"/>
      <c r="J73" s="10"/>
    </row>
    <row r="74" spans="2:10">
      <c r="B74" s="9" t="s">
        <v>54</v>
      </c>
      <c r="G74" s="10"/>
      <c r="H74" s="10"/>
      <c r="I74" s="10"/>
      <c r="J74" s="10"/>
    </row>
    <row r="75" spans="2:10">
      <c r="B75" s="9"/>
      <c r="G75" s="10"/>
      <c r="H75" s="10"/>
      <c r="I75" s="10"/>
      <c r="J75" s="10"/>
    </row>
    <row r="76" spans="2:10" ht="54">
      <c r="B76" s="106" t="s">
        <v>2</v>
      </c>
      <c r="C76" s="106" t="s">
        <v>13</v>
      </c>
      <c r="D76" s="106" t="s">
        <v>74</v>
      </c>
      <c r="E76" s="106" t="s">
        <v>75</v>
      </c>
      <c r="F76" s="106" t="s">
        <v>68</v>
      </c>
      <c r="G76" s="106" t="s">
        <v>133</v>
      </c>
      <c r="H76" s="106" t="s">
        <v>69</v>
      </c>
      <c r="I76" s="106" t="s">
        <v>55</v>
      </c>
    </row>
    <row r="77" spans="2:10">
      <c r="B77" s="12" t="s">
        <v>79</v>
      </c>
      <c r="C77" s="118">
        <v>1</v>
      </c>
      <c r="D77" s="118">
        <v>300000</v>
      </c>
      <c r="E77" s="13">
        <f>D77*C77</f>
        <v>300000</v>
      </c>
      <c r="F77" s="115">
        <v>15</v>
      </c>
      <c r="G77" s="116">
        <v>20</v>
      </c>
      <c r="H77" s="117">
        <v>0.05</v>
      </c>
      <c r="I77" s="11">
        <v>1250</v>
      </c>
    </row>
    <row r="78" spans="2:10" s="68" customFormat="1">
      <c r="B78" s="187"/>
      <c r="C78" s="186"/>
      <c r="D78" s="186"/>
      <c r="E78" s="186"/>
      <c r="F78" s="188"/>
      <c r="G78" s="188"/>
      <c r="H78" s="189"/>
      <c r="I78" s="188"/>
    </row>
    <row r="79" spans="2:10" s="68" customFormat="1">
      <c r="B79" s="187"/>
      <c r="C79" s="186"/>
      <c r="D79" s="186"/>
      <c r="E79" s="186"/>
      <c r="F79" s="188"/>
      <c r="G79" s="188"/>
      <c r="H79" s="189"/>
      <c r="I79" s="188"/>
    </row>
    <row r="80" spans="2:10" s="68" customFormat="1">
      <c r="B80" s="9" t="s">
        <v>329</v>
      </c>
      <c r="C80"/>
      <c r="D80" s="186"/>
      <c r="E80" s="186"/>
      <c r="F80" s="188"/>
      <c r="G80" s="188"/>
      <c r="H80" s="189"/>
      <c r="I80" s="188"/>
    </row>
    <row r="81" spans="2:10" s="68" customFormat="1">
      <c r="B81" s="9"/>
      <c r="C81"/>
      <c r="D81" s="186"/>
      <c r="E81" s="186"/>
      <c r="F81" s="188"/>
      <c r="G81" s="188"/>
      <c r="H81" s="189"/>
      <c r="I81" s="188"/>
    </row>
    <row r="82" spans="2:10" s="68" customFormat="1" ht="36">
      <c r="B82" s="106" t="s">
        <v>330</v>
      </c>
      <c r="C82" s="106" t="s">
        <v>352</v>
      </c>
      <c r="D82" s="186"/>
      <c r="E82" s="186"/>
      <c r="F82" s="188"/>
      <c r="G82" s="188"/>
      <c r="H82" s="189"/>
      <c r="I82" s="188"/>
    </row>
    <row r="83" spans="2:10" s="68" customFormat="1">
      <c r="B83" s="12" t="s">
        <v>331</v>
      </c>
      <c r="C83" s="118">
        <v>1200000</v>
      </c>
      <c r="D83" s="186"/>
      <c r="E83" s="186"/>
      <c r="F83" s="188"/>
      <c r="G83" s="188"/>
      <c r="H83" s="189"/>
      <c r="I83" s="188"/>
    </row>
    <row r="84" spans="2:10" s="68" customFormat="1">
      <c r="B84" s="12" t="s">
        <v>332</v>
      </c>
      <c r="C84" s="118">
        <v>2000000</v>
      </c>
      <c r="D84" s="186"/>
      <c r="E84" s="186"/>
      <c r="F84" s="188"/>
      <c r="G84" s="188"/>
      <c r="H84" s="189"/>
      <c r="I84" s="188"/>
    </row>
    <row r="85" spans="2:10">
      <c r="B85" s="12" t="s">
        <v>333</v>
      </c>
      <c r="C85" s="118">
        <v>5000000</v>
      </c>
      <c r="G85" s="10"/>
      <c r="H85" s="10"/>
      <c r="I85" s="10"/>
      <c r="J85" s="10"/>
    </row>
    <row r="86" spans="2:10">
      <c r="B86" s="9"/>
      <c r="G86" s="10"/>
      <c r="H86" s="10"/>
      <c r="I86" s="10"/>
      <c r="J86" s="10"/>
    </row>
    <row r="87" spans="2:10">
      <c r="B87" s="9" t="s">
        <v>334</v>
      </c>
    </row>
    <row r="88" spans="2:10">
      <c r="B88" s="9"/>
    </row>
    <row r="89" spans="2:10" ht="18">
      <c r="B89" s="106" t="s">
        <v>278</v>
      </c>
      <c r="C89" s="176" t="s">
        <v>13</v>
      </c>
    </row>
    <row r="90" spans="2:10" ht="18" customHeight="1">
      <c r="B90" s="194" t="s">
        <v>14</v>
      </c>
      <c r="C90" s="119">
        <v>0.45</v>
      </c>
    </row>
    <row r="91" spans="2:10">
      <c r="B91" s="194" t="s">
        <v>15</v>
      </c>
      <c r="C91" s="120">
        <v>12</v>
      </c>
    </row>
    <row r="93" spans="2:10" ht="36">
      <c r="B93" s="106" t="s">
        <v>8</v>
      </c>
      <c r="C93" s="106" t="s">
        <v>9</v>
      </c>
      <c r="D93" s="106" t="s">
        <v>10</v>
      </c>
      <c r="E93" s="106" t="s">
        <v>11</v>
      </c>
    </row>
    <row r="94" spans="2:10">
      <c r="B94" s="4" t="s">
        <v>16</v>
      </c>
      <c r="C94" s="121">
        <v>5</v>
      </c>
      <c r="D94" s="121">
        <v>20000</v>
      </c>
      <c r="E94" s="5">
        <f t="shared" ref="E94:E99" si="5">C94*D94*$C$91</f>
        <v>1200000</v>
      </c>
    </row>
    <row r="95" spans="2:10">
      <c r="B95" s="4" t="s">
        <v>328</v>
      </c>
      <c r="C95" s="121">
        <v>2</v>
      </c>
      <c r="D95" s="121">
        <v>10000</v>
      </c>
      <c r="E95" s="5">
        <f>C95*D95*$C$91</f>
        <v>240000</v>
      </c>
    </row>
    <row r="96" spans="2:10">
      <c r="B96" s="6" t="s">
        <v>17</v>
      </c>
      <c r="C96" s="121">
        <v>10</v>
      </c>
      <c r="D96" s="121">
        <v>2000</v>
      </c>
      <c r="E96" s="5">
        <f t="shared" si="5"/>
        <v>240000</v>
      </c>
    </row>
    <row r="97" spans="2:8">
      <c r="B97" s="4" t="s">
        <v>18</v>
      </c>
      <c r="C97" s="121">
        <v>20</v>
      </c>
      <c r="D97" s="121">
        <v>1500</v>
      </c>
      <c r="E97" s="5">
        <f t="shared" si="5"/>
        <v>360000</v>
      </c>
    </row>
    <row r="98" spans="2:8">
      <c r="B98" s="6" t="s">
        <v>19</v>
      </c>
      <c r="C98" s="121">
        <v>8</v>
      </c>
      <c r="D98" s="121">
        <v>1800</v>
      </c>
      <c r="E98" s="5">
        <f t="shared" si="5"/>
        <v>172800</v>
      </c>
    </row>
    <row r="99" spans="2:8">
      <c r="B99" s="6" t="s">
        <v>20</v>
      </c>
      <c r="C99" s="121">
        <v>5</v>
      </c>
      <c r="D99" s="121">
        <v>1500</v>
      </c>
      <c r="E99" s="5">
        <f t="shared" si="5"/>
        <v>90000</v>
      </c>
    </row>
    <row r="100" spans="2:8">
      <c r="B100" s="7" t="s">
        <v>12</v>
      </c>
      <c r="C100" s="121">
        <f>SUM(C94:C99)</f>
        <v>50</v>
      </c>
      <c r="D100" s="121">
        <f>SUM(D94:D99)</f>
        <v>36800</v>
      </c>
      <c r="E100" s="5">
        <f>SUM(E94:E99)</f>
        <v>2302800</v>
      </c>
    </row>
    <row r="101" spans="2:8">
      <c r="B101" s="287"/>
      <c r="C101" s="286"/>
      <c r="D101" s="286"/>
      <c r="E101" s="286"/>
    </row>
    <row r="102" spans="2:8">
      <c r="B102" s="287"/>
      <c r="C102" s="286"/>
      <c r="D102" s="286"/>
      <c r="E102" s="286"/>
    </row>
    <row r="103" spans="2:8" ht="36">
      <c r="B103" s="260" t="s">
        <v>580</v>
      </c>
      <c r="C103" s="260" t="s">
        <v>9</v>
      </c>
      <c r="D103" s="260" t="s">
        <v>10</v>
      </c>
      <c r="E103" s="260" t="s">
        <v>11</v>
      </c>
    </row>
    <row r="104" spans="2:8">
      <c r="B104" s="289" t="s">
        <v>581</v>
      </c>
      <c r="C104" s="290">
        <v>20</v>
      </c>
      <c r="D104" s="290">
        <v>6000</v>
      </c>
      <c r="E104" s="291">
        <f>C104*D104*$C$91</f>
        <v>1440000</v>
      </c>
    </row>
    <row r="105" spans="2:8">
      <c r="B105" s="289" t="s">
        <v>582</v>
      </c>
      <c r="C105" s="290">
        <v>50</v>
      </c>
      <c r="D105" s="290">
        <v>8000</v>
      </c>
      <c r="E105" s="291">
        <f t="shared" ref="E105:E107" si="6">C105*D105*$C$91</f>
        <v>4800000</v>
      </c>
    </row>
    <row r="106" spans="2:8">
      <c r="B106" s="289" t="s">
        <v>583</v>
      </c>
      <c r="C106" s="290">
        <v>20</v>
      </c>
      <c r="D106" s="290">
        <v>6000</v>
      </c>
      <c r="E106" s="291">
        <f t="shared" si="6"/>
        <v>1440000</v>
      </c>
    </row>
    <row r="107" spans="2:8">
      <c r="B107" s="289" t="s">
        <v>584</v>
      </c>
      <c r="C107" s="290">
        <v>50</v>
      </c>
      <c r="D107" s="290">
        <v>8000</v>
      </c>
      <c r="E107" s="291">
        <f t="shared" si="6"/>
        <v>4800000</v>
      </c>
    </row>
    <row r="108" spans="2:8">
      <c r="B108" s="288"/>
      <c r="C108" s="8"/>
      <c r="D108" s="8"/>
      <c r="E108" s="8"/>
    </row>
    <row r="109" spans="2:8">
      <c r="F109" s="14"/>
      <c r="G109" s="14"/>
      <c r="H109" s="14"/>
    </row>
    <row r="110" spans="2:8">
      <c r="B110" s="9" t="s">
        <v>335</v>
      </c>
      <c r="F110" s="14"/>
      <c r="G110" s="14"/>
      <c r="H110" s="14"/>
    </row>
    <row r="111" spans="2:8">
      <c r="F111" s="14"/>
      <c r="G111" s="14"/>
      <c r="H111" s="14"/>
    </row>
    <row r="112" spans="2:8" ht="18">
      <c r="B112" s="106" t="s">
        <v>158</v>
      </c>
      <c r="C112" s="106" t="s">
        <v>336</v>
      </c>
      <c r="E112" s="14"/>
      <c r="F112" s="14"/>
      <c r="G112" s="14"/>
    </row>
    <row r="113" spans="2:8">
      <c r="B113" s="16" t="s">
        <v>229</v>
      </c>
      <c r="C113" s="121" t="s">
        <v>337</v>
      </c>
      <c r="E113" s="14"/>
      <c r="F113" s="14"/>
      <c r="G113" s="14"/>
    </row>
    <row r="114" spans="2:8">
      <c r="B114" s="16" t="s">
        <v>338</v>
      </c>
      <c r="C114" s="121" t="s">
        <v>337</v>
      </c>
      <c r="E114" s="14"/>
      <c r="F114" s="14"/>
      <c r="G114" s="14"/>
    </row>
    <row r="115" spans="2:8">
      <c r="B115" s="16" t="s">
        <v>339</v>
      </c>
      <c r="C115" s="121" t="s">
        <v>337</v>
      </c>
      <c r="E115" s="14"/>
      <c r="F115" s="14"/>
      <c r="G115" s="14"/>
    </row>
    <row r="116" spans="2:8">
      <c r="B116" s="16" t="s">
        <v>228</v>
      </c>
      <c r="C116" s="121" t="s">
        <v>337</v>
      </c>
      <c r="E116" s="14"/>
      <c r="F116" s="14"/>
      <c r="G116" s="14"/>
    </row>
    <row r="117" spans="2:8">
      <c r="F117" s="14"/>
      <c r="G117" s="14"/>
      <c r="H117" s="14"/>
    </row>
    <row r="118" spans="2:8">
      <c r="F118" s="14"/>
      <c r="G118" s="14"/>
      <c r="H118" s="14"/>
    </row>
    <row r="119" spans="2:8">
      <c r="F119" s="14"/>
      <c r="G119" s="14"/>
      <c r="H119" s="14"/>
    </row>
    <row r="120" spans="2:8">
      <c r="F120" s="14"/>
      <c r="G120" s="14"/>
      <c r="H120" s="14"/>
    </row>
    <row r="121" spans="2:8">
      <c r="F121" s="14"/>
      <c r="G121" s="14"/>
      <c r="H121" s="14"/>
    </row>
    <row r="122" spans="2:8">
      <c r="F122" s="14"/>
      <c r="G122" s="14"/>
      <c r="H122" s="14"/>
    </row>
    <row r="123" spans="2:8">
      <c r="B123" s="9" t="s">
        <v>84</v>
      </c>
    </row>
    <row r="125" spans="2:8" ht="18">
      <c r="B125" s="106" t="s">
        <v>85</v>
      </c>
      <c r="C125" s="106" t="s">
        <v>4</v>
      </c>
    </row>
    <row r="126" spans="2:8">
      <c r="B126" s="16" t="s">
        <v>86</v>
      </c>
      <c r="C126" s="27">
        <v>0.18</v>
      </c>
    </row>
    <row r="127" spans="2:8">
      <c r="B127" s="16" t="s">
        <v>87</v>
      </c>
      <c r="C127" s="27">
        <v>0.3</v>
      </c>
    </row>
    <row r="128" spans="2:8">
      <c r="B128" s="62" t="s">
        <v>458</v>
      </c>
      <c r="C128" s="233">
        <v>1500</v>
      </c>
    </row>
    <row r="129" spans="2:3">
      <c r="B129" s="62" t="s">
        <v>437</v>
      </c>
      <c r="C129" s="234">
        <v>0.02</v>
      </c>
    </row>
    <row r="131" spans="2:3">
      <c r="B131" s="170" t="s">
        <v>314</v>
      </c>
      <c r="C131" s="169"/>
    </row>
    <row r="132" spans="2:3">
      <c r="B132" s="15"/>
      <c r="C132" s="169"/>
    </row>
    <row r="133" spans="2:3" ht="18">
      <c r="B133" s="106" t="s">
        <v>315</v>
      </c>
    </row>
    <row r="134" spans="2:3" ht="18">
      <c r="B134" s="106" t="s">
        <v>316</v>
      </c>
      <c r="C134" s="106" t="s">
        <v>4</v>
      </c>
    </row>
    <row r="135" spans="2:3">
      <c r="B135" s="16" t="s">
        <v>317</v>
      </c>
      <c r="C135" s="171">
        <v>0.3</v>
      </c>
    </row>
    <row r="136" spans="2:3">
      <c r="B136" s="16" t="s">
        <v>318</v>
      </c>
      <c r="C136" s="171">
        <f>1-C135</f>
        <v>0.7</v>
      </c>
    </row>
    <row r="137" spans="2:3">
      <c r="B137" s="16" t="s">
        <v>319</v>
      </c>
      <c r="C137" s="171">
        <v>0.01</v>
      </c>
    </row>
    <row r="138" spans="2:3">
      <c r="B138" s="16" t="s">
        <v>320</v>
      </c>
      <c r="C138" s="171">
        <v>0.8</v>
      </c>
    </row>
    <row r="139" spans="2:3">
      <c r="B139" s="16" t="s">
        <v>321</v>
      </c>
      <c r="C139" s="171">
        <v>0.2</v>
      </c>
    </row>
    <row r="140" spans="2:3">
      <c r="B140" s="15"/>
      <c r="C140" s="169"/>
    </row>
    <row r="141" spans="2:3" ht="18">
      <c r="B141" s="106" t="s">
        <v>322</v>
      </c>
    </row>
    <row r="142" spans="2:3" ht="18">
      <c r="B142" s="106" t="s">
        <v>316</v>
      </c>
      <c r="C142" s="106" t="s">
        <v>4</v>
      </c>
    </row>
    <row r="143" spans="2:3">
      <c r="B143" s="16" t="s">
        <v>323</v>
      </c>
      <c r="C143" s="172">
        <v>0.2</v>
      </c>
    </row>
    <row r="144" spans="2:3">
      <c r="B144" s="16" t="s">
        <v>324</v>
      </c>
      <c r="C144" s="172">
        <v>0.8</v>
      </c>
    </row>
    <row r="145" spans="2:3">
      <c r="B145" s="16" t="s">
        <v>325</v>
      </c>
      <c r="C145" s="172">
        <v>0.8</v>
      </c>
    </row>
    <row r="146" spans="2:3">
      <c r="B146" s="16" t="s">
        <v>326</v>
      </c>
      <c r="C146" s="172">
        <v>0.2</v>
      </c>
    </row>
    <row r="150" spans="2:3" ht="20">
      <c r="B150" s="32" t="s">
        <v>313</v>
      </c>
      <c r="C150" s="20"/>
    </row>
    <row r="151" spans="2:3">
      <c r="B151" s="20"/>
      <c r="C151" s="20"/>
    </row>
    <row r="152" spans="2:3" ht="18">
      <c r="B152" s="106" t="s">
        <v>158</v>
      </c>
      <c r="C152" s="106" t="s">
        <v>159</v>
      </c>
    </row>
    <row r="154" spans="2:3" ht="18">
      <c r="B154" s="106" t="s">
        <v>160</v>
      </c>
    </row>
    <row r="155" spans="2:3">
      <c r="B155" s="72" t="s">
        <v>161</v>
      </c>
      <c r="C155" s="118">
        <v>6500000</v>
      </c>
    </row>
    <row r="156" spans="2:3">
      <c r="B156" s="62" t="s">
        <v>162</v>
      </c>
      <c r="C156" s="118">
        <v>3548950</v>
      </c>
    </row>
    <row r="157" spans="2:3">
      <c r="B157" s="73" t="s">
        <v>163</v>
      </c>
      <c r="C157" s="118">
        <v>11000000</v>
      </c>
    </row>
    <row r="158" spans="2:3">
      <c r="B158" s="62" t="s">
        <v>164</v>
      </c>
      <c r="C158" s="13">
        <f>SUM(F21:F29)</f>
        <v>6941000</v>
      </c>
    </row>
    <row r="159" spans="2:3">
      <c r="B159" s="62" t="s">
        <v>165</v>
      </c>
      <c r="C159" s="13">
        <f>SUM(F13:F15)</f>
        <v>12510000</v>
      </c>
    </row>
    <row r="160" spans="2:3">
      <c r="B160" s="62" t="s">
        <v>166</v>
      </c>
      <c r="C160" s="13">
        <f>'Activos fijos'!C31</f>
        <v>68319950</v>
      </c>
    </row>
    <row r="161" spans="1:3">
      <c r="B161" s="62" t="s">
        <v>167</v>
      </c>
      <c r="C161" s="13">
        <f>54521860*(-1)</f>
        <v>-54521860</v>
      </c>
    </row>
    <row r="162" spans="1:3">
      <c r="B162" s="73" t="s">
        <v>170</v>
      </c>
      <c r="C162" s="118">
        <v>837828</v>
      </c>
    </row>
    <row r="163" spans="1:3" ht="18">
      <c r="B163" s="123" t="s">
        <v>126</v>
      </c>
      <c r="C163" s="124">
        <f>SUM(C155:C162)</f>
        <v>55135868</v>
      </c>
    </row>
    <row r="164" spans="1:3" ht="18">
      <c r="A164" s="153"/>
      <c r="B164" s="106" t="s">
        <v>171</v>
      </c>
    </row>
    <row r="165" spans="1:3">
      <c r="B165" s="73" t="s">
        <v>172</v>
      </c>
      <c r="C165" s="118">
        <v>9000000</v>
      </c>
    </row>
    <row r="166" spans="1:3">
      <c r="B166" s="73" t="s">
        <v>173</v>
      </c>
      <c r="C166" s="118">
        <v>0</v>
      </c>
    </row>
    <row r="167" spans="1:3">
      <c r="B167" s="74" t="s">
        <v>174</v>
      </c>
      <c r="C167" s="118">
        <v>14000000</v>
      </c>
    </row>
    <row r="168" spans="1:3">
      <c r="B168" s="73" t="s">
        <v>175</v>
      </c>
      <c r="C168" s="118">
        <v>5000000</v>
      </c>
    </row>
    <row r="169" spans="1:3">
      <c r="B169" s="73" t="s">
        <v>176</v>
      </c>
      <c r="C169" s="118">
        <v>1500000</v>
      </c>
    </row>
    <row r="170" spans="1:3">
      <c r="B170" s="73" t="s">
        <v>177</v>
      </c>
      <c r="C170" s="118">
        <v>6000000</v>
      </c>
    </row>
    <row r="171" spans="1:3">
      <c r="B171" s="73" t="s">
        <v>178</v>
      </c>
      <c r="C171" s="118">
        <v>15000000</v>
      </c>
    </row>
    <row r="172" spans="1:3">
      <c r="B172" s="73" t="s">
        <v>179</v>
      </c>
      <c r="C172" s="118">
        <v>0</v>
      </c>
    </row>
    <row r="173" spans="1:3" ht="18">
      <c r="B173" s="123" t="s">
        <v>180</v>
      </c>
      <c r="C173" s="124">
        <f>SUM(C165:C172)</f>
        <v>50500000</v>
      </c>
    </row>
    <row r="174" spans="1:3" ht="18">
      <c r="B174" s="106" t="s">
        <v>181</v>
      </c>
    </row>
    <row r="175" spans="1:3">
      <c r="B175" s="73" t="s">
        <v>182</v>
      </c>
      <c r="C175" s="118">
        <v>27000000</v>
      </c>
    </row>
    <row r="176" spans="1:3">
      <c r="B176" s="73" t="s">
        <v>183</v>
      </c>
      <c r="C176" s="118">
        <f>C175*20%-10000</f>
        <v>5390000</v>
      </c>
    </row>
    <row r="177" spans="2:3">
      <c r="B177" s="73" t="s">
        <v>184</v>
      </c>
      <c r="C177" s="118">
        <v>30000000</v>
      </c>
    </row>
    <row r="178" spans="2:3" ht="18">
      <c r="B178" s="123" t="s">
        <v>185</v>
      </c>
      <c r="C178" s="124">
        <f>SUM(C175:C177)</f>
        <v>62390000</v>
      </c>
    </row>
    <row r="179" spans="2:3">
      <c r="B179" s="20"/>
      <c r="C179" s="20"/>
    </row>
    <row r="180" spans="2:3" ht="18">
      <c r="B180" s="125" t="s">
        <v>186</v>
      </c>
      <c r="C180" s="124">
        <f>C163-C173-C178</f>
        <v>-57754132</v>
      </c>
    </row>
    <row r="183" spans="2:3" ht="20">
      <c r="B183" s="32" t="s">
        <v>347</v>
      </c>
    </row>
    <row r="186" spans="2:3" ht="18">
      <c r="B186" s="106" t="s">
        <v>158</v>
      </c>
      <c r="C186" s="106" t="s">
        <v>336</v>
      </c>
    </row>
    <row r="187" spans="2:3">
      <c r="B187" s="16" t="s">
        <v>229</v>
      </c>
      <c r="C187" s="16" t="s">
        <v>337</v>
      </c>
    </row>
    <row r="188" spans="2:3">
      <c r="B188" s="16" t="s">
        <v>338</v>
      </c>
      <c r="C188" s="16" t="s">
        <v>337</v>
      </c>
    </row>
    <row r="189" spans="2:3">
      <c r="B189" s="16" t="s">
        <v>339</v>
      </c>
      <c r="C189" s="16" t="s">
        <v>337</v>
      </c>
    </row>
    <row r="190" spans="2:3">
      <c r="B190" s="16" t="s">
        <v>228</v>
      </c>
      <c r="C190" s="16" t="s">
        <v>337</v>
      </c>
    </row>
    <row r="193" spans="2:3" ht="20">
      <c r="B193" s="32" t="s">
        <v>406</v>
      </c>
    </row>
    <row r="195" spans="2:3" ht="18">
      <c r="B195" s="314" t="s">
        <v>407</v>
      </c>
      <c r="C195" s="315"/>
    </row>
    <row r="196" spans="2:3" ht="18">
      <c r="B196" s="215" t="s">
        <v>342</v>
      </c>
      <c r="C196" s="215" t="s">
        <v>408</v>
      </c>
    </row>
    <row r="197" spans="2:3">
      <c r="B197" s="62" t="s">
        <v>259</v>
      </c>
      <c r="C197" s="172">
        <v>0.1</v>
      </c>
    </row>
    <row r="198" spans="2:3">
      <c r="B198" s="216" t="s">
        <v>409</v>
      </c>
      <c r="C198" s="172">
        <v>0.05</v>
      </c>
    </row>
    <row r="199" spans="2:3">
      <c r="B199" s="216" t="s">
        <v>410</v>
      </c>
      <c r="C199" s="172">
        <v>0.06</v>
      </c>
    </row>
    <row r="200" spans="2:3">
      <c r="B200" s="216" t="s">
        <v>411</v>
      </c>
      <c r="C200" s="172">
        <v>0.04</v>
      </c>
    </row>
    <row r="201" spans="2:3">
      <c r="B201" s="216" t="s">
        <v>412</v>
      </c>
      <c r="C201" s="172">
        <v>1</v>
      </c>
    </row>
    <row r="202" spans="2:3">
      <c r="B202" s="216" t="s">
        <v>413</v>
      </c>
      <c r="C202" s="172">
        <v>0</v>
      </c>
    </row>
    <row r="203" spans="2:3">
      <c r="B203" s="216" t="s">
        <v>414</v>
      </c>
      <c r="C203" s="172">
        <v>0.2</v>
      </c>
    </row>
    <row r="206" spans="2:3" ht="20">
      <c r="B206" s="32" t="s">
        <v>456</v>
      </c>
    </row>
    <row r="208" spans="2:3" ht="18">
      <c r="B208" s="215" t="s">
        <v>158</v>
      </c>
      <c r="C208" s="215" t="s">
        <v>408</v>
      </c>
    </row>
    <row r="209" spans="2:3">
      <c r="B209" s="62" t="s">
        <v>457</v>
      </c>
      <c r="C209" s="172">
        <v>0.12</v>
      </c>
    </row>
    <row r="212" spans="2:3" ht="20">
      <c r="B212" s="32" t="s">
        <v>467</v>
      </c>
      <c r="C212" s="20"/>
    </row>
    <row r="213" spans="2:3">
      <c r="B213" s="20"/>
      <c r="C213" s="20"/>
    </row>
    <row r="214" spans="2:3" ht="18">
      <c r="B214" s="314" t="s">
        <v>459</v>
      </c>
      <c r="C214" s="315"/>
    </row>
    <row r="215" spans="2:3" ht="18">
      <c r="B215" s="215" t="s">
        <v>158</v>
      </c>
      <c r="C215" s="215" t="s">
        <v>460</v>
      </c>
    </row>
    <row r="216" spans="2:3">
      <c r="B216" s="62" t="s">
        <v>461</v>
      </c>
      <c r="C216" s="118">
        <v>2000000</v>
      </c>
    </row>
    <row r="217" spans="2:3">
      <c r="B217" s="62" t="s">
        <v>462</v>
      </c>
      <c r="C217" s="118">
        <v>7000000</v>
      </c>
    </row>
    <row r="218" spans="2:3">
      <c r="B218" s="62" t="s">
        <v>463</v>
      </c>
      <c r="C218" s="118">
        <v>2500000</v>
      </c>
    </row>
    <row r="219" spans="2:3">
      <c r="B219" s="62" t="s">
        <v>464</v>
      </c>
      <c r="C219" s="172">
        <v>0.4</v>
      </c>
    </row>
    <row r="220" spans="2:3">
      <c r="B220" s="62" t="s">
        <v>465</v>
      </c>
      <c r="C220" s="118">
        <v>8000000</v>
      </c>
    </row>
    <row r="221" spans="2:3">
      <c r="B221" s="62" t="s">
        <v>466</v>
      </c>
      <c r="C221" s="172">
        <v>0.12</v>
      </c>
    </row>
  </sheetData>
  <mergeCells count="4">
    <mergeCell ref="B195:C195"/>
    <mergeCell ref="B214:C214"/>
    <mergeCell ref="E11:F11"/>
    <mergeCell ref="E19:F1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C14" sqref="C14"/>
    </sheetView>
  </sheetViews>
  <sheetFormatPr baseColWidth="10" defaultRowHeight="15" x14ac:dyDescent="0"/>
  <cols>
    <col min="2" max="2" width="32.83203125" customWidth="1"/>
    <col min="3" max="3" width="13.83203125" bestFit="1" customWidth="1"/>
    <col min="4" max="11" width="13" bestFit="1" customWidth="1"/>
  </cols>
  <sheetData>
    <row r="2" spans="2:11" ht="20">
      <c r="B2" s="337" t="s">
        <v>521</v>
      </c>
      <c r="C2" s="337"/>
      <c r="D2" s="337"/>
    </row>
    <row r="4" spans="2:11" ht="18">
      <c r="B4" s="274" t="s">
        <v>560</v>
      </c>
      <c r="C4" s="261">
        <v>2013</v>
      </c>
      <c r="D4" s="261">
        <v>2014</v>
      </c>
      <c r="E4" s="261">
        <v>2015</v>
      </c>
      <c r="F4" s="261">
        <v>2016</v>
      </c>
      <c r="G4" s="261">
        <v>2017</v>
      </c>
      <c r="H4" s="261">
        <v>2018</v>
      </c>
      <c r="I4" s="261">
        <v>2019</v>
      </c>
      <c r="J4" s="261">
        <v>2020</v>
      </c>
      <c r="K4" s="261">
        <v>2021</v>
      </c>
    </row>
    <row r="5" spans="2:11">
      <c r="B5" s="266" t="s">
        <v>569</v>
      </c>
      <c r="C5" s="253">
        <f>'Compras Valorizadas'!C17</f>
        <v>87379256.532050639</v>
      </c>
      <c r="D5" s="253">
        <f>'Compras Valorizadas'!D17</f>
        <v>89226205.726035491</v>
      </c>
      <c r="E5" s="253">
        <f>'Compras Valorizadas'!E17</f>
        <v>90477487.749359816</v>
      </c>
      <c r="F5" s="253">
        <f>'Compras Valorizadas'!F17</f>
        <v>92421476.42650947</v>
      </c>
      <c r="G5" s="253">
        <f>'Compras Valorizadas'!G17</f>
        <v>94462189.244180724</v>
      </c>
      <c r="H5" s="253">
        <f>'Compras Valorizadas'!H17</f>
        <v>97101885.584435523</v>
      </c>
      <c r="I5" s="253">
        <f>'Compras Valorizadas'!I17</f>
        <v>99055732.755869955</v>
      </c>
      <c r="J5" s="253">
        <f>'Compras Valorizadas'!J17</f>
        <v>101187637.70022337</v>
      </c>
      <c r="K5" s="253">
        <f>'Compras Valorizadas'!K17</f>
        <v>103236573.52522121</v>
      </c>
    </row>
    <row r="6" spans="2:11">
      <c r="B6" s="266" t="s">
        <v>306</v>
      </c>
      <c r="C6" s="253">
        <f>C5*Parametros!$C143</f>
        <v>17475851.30641013</v>
      </c>
      <c r="D6" s="253">
        <f>D5*Parametros!$C143</f>
        <v>17845241.1452071</v>
      </c>
      <c r="E6" s="253">
        <f>E5*Parametros!$C143</f>
        <v>18095497.549871963</v>
      </c>
      <c r="F6" s="253">
        <f>F5*Parametros!$C143</f>
        <v>18484295.285301894</v>
      </c>
      <c r="G6" s="253">
        <f>G5*Parametros!$C143</f>
        <v>18892437.848836146</v>
      </c>
      <c r="H6" s="253">
        <f>H5*Parametros!$C143</f>
        <v>19420377.116887104</v>
      </c>
      <c r="I6" s="253">
        <f>I5*Parametros!$C143</f>
        <v>19811146.551173992</v>
      </c>
      <c r="J6" s="253">
        <f>J5*Parametros!$C143</f>
        <v>20237527.540044677</v>
      </c>
      <c r="K6" s="253">
        <f>K5*Parametros!$C143</f>
        <v>20647314.705044243</v>
      </c>
    </row>
    <row r="7" spans="2:11">
      <c r="B7" s="266" t="s">
        <v>307</v>
      </c>
      <c r="C7" s="253">
        <f>C5*Parametros!$C144</f>
        <v>69903405.22564052</v>
      </c>
      <c r="D7" s="253">
        <f>D5*Parametros!$C144</f>
        <v>71380964.580828398</v>
      </c>
      <c r="E7" s="253">
        <f>E5*Parametros!$C144</f>
        <v>72381990.19948785</v>
      </c>
      <c r="F7" s="253">
        <f>F5*Parametros!$C144</f>
        <v>73937181.141207576</v>
      </c>
      <c r="G7" s="253">
        <f>G5*Parametros!$C144</f>
        <v>75569751.395344585</v>
      </c>
      <c r="H7" s="253">
        <f>H5*Parametros!$C144</f>
        <v>77681508.467548415</v>
      </c>
      <c r="I7" s="253">
        <f>I5*Parametros!$C144</f>
        <v>79244586.20469597</v>
      </c>
      <c r="J7" s="253">
        <f>J5*Parametros!$C144</f>
        <v>80950110.160178706</v>
      </c>
      <c r="K7" s="253">
        <f>K5*Parametros!$C144</f>
        <v>82589258.820176974</v>
      </c>
    </row>
    <row r="8" spans="2:11">
      <c r="B8" s="266" t="s">
        <v>570</v>
      </c>
      <c r="C8" s="59">
        <f>C7*Parametros!$C145</f>
        <v>55922724.180512421</v>
      </c>
      <c r="D8" s="59">
        <f>D7*Parametros!$C145</f>
        <v>57104771.664662719</v>
      </c>
      <c r="E8" s="59">
        <f>E7*Parametros!$C145</f>
        <v>57905592.159590282</v>
      </c>
      <c r="F8" s="59">
        <f>F7*Parametros!$C145</f>
        <v>59149744.912966065</v>
      </c>
      <c r="G8" s="59">
        <f>G7*Parametros!$C145</f>
        <v>60455801.116275668</v>
      </c>
      <c r="H8" s="59">
        <f>H7*Parametros!$C145</f>
        <v>62145206.774038732</v>
      </c>
      <c r="I8" s="59">
        <f>I7*Parametros!$C145</f>
        <v>63395668.963756777</v>
      </c>
      <c r="J8" s="59">
        <f>J7*Parametros!$C145</f>
        <v>64760088.128142968</v>
      </c>
      <c r="K8" s="59">
        <f>K7*Parametros!$C145</f>
        <v>66071407.056141585</v>
      </c>
    </row>
    <row r="9" spans="2:11">
      <c r="B9" s="266" t="s">
        <v>571</v>
      </c>
      <c r="C9" s="253">
        <f>C7*Parametros!$C146</f>
        <v>13980681.045128105</v>
      </c>
      <c r="D9" s="253">
        <f>D7*Parametros!$C146</f>
        <v>14276192.91616568</v>
      </c>
      <c r="E9" s="253">
        <f>E7*Parametros!$C146</f>
        <v>14476398.03989757</v>
      </c>
      <c r="F9" s="253">
        <f>F7*Parametros!$C146</f>
        <v>14787436.228241516</v>
      </c>
      <c r="G9" s="253">
        <f>G7*Parametros!$C146</f>
        <v>15113950.279068917</v>
      </c>
      <c r="H9" s="253">
        <f>H7*Parametros!$C146</f>
        <v>15536301.693509683</v>
      </c>
      <c r="I9" s="253">
        <f>I7*Parametros!$C146</f>
        <v>15848917.240939194</v>
      </c>
      <c r="J9" s="253">
        <f>J7*Parametros!$C146</f>
        <v>16190022.032035742</v>
      </c>
      <c r="K9" s="253">
        <f>K7*Parametros!$C146</f>
        <v>16517851.764035396</v>
      </c>
    </row>
    <row r="10" spans="2:11">
      <c r="B10" s="269"/>
      <c r="C10" s="59"/>
      <c r="D10" s="59"/>
      <c r="E10" s="59"/>
      <c r="F10" s="59"/>
      <c r="G10" s="59"/>
      <c r="H10" s="59"/>
      <c r="I10" s="59"/>
      <c r="J10" s="59"/>
      <c r="K10" s="59"/>
    </row>
    <row r="11" spans="2:11">
      <c r="B11" s="266" t="s">
        <v>572</v>
      </c>
      <c r="C11" s="253">
        <f>C6</f>
        <v>17475851.30641013</v>
      </c>
      <c r="D11" s="253">
        <f t="shared" ref="D11:K11" si="0">D6</f>
        <v>17845241.1452071</v>
      </c>
      <c r="E11" s="253">
        <f t="shared" si="0"/>
        <v>18095497.549871963</v>
      </c>
      <c r="F11" s="253">
        <f t="shared" si="0"/>
        <v>18484295.285301894</v>
      </c>
      <c r="G11" s="253">
        <f t="shared" si="0"/>
        <v>18892437.848836146</v>
      </c>
      <c r="H11" s="253">
        <f t="shared" si="0"/>
        <v>19420377.116887104</v>
      </c>
      <c r="I11" s="253">
        <f t="shared" si="0"/>
        <v>19811146.551173992</v>
      </c>
      <c r="J11" s="253">
        <f t="shared" si="0"/>
        <v>20237527.540044677</v>
      </c>
      <c r="K11" s="253">
        <f t="shared" si="0"/>
        <v>20647314.705044243</v>
      </c>
    </row>
    <row r="12" spans="2:11">
      <c r="B12" s="266" t="s">
        <v>573</v>
      </c>
      <c r="C12" s="253">
        <f>C7*Parametros!$C145</f>
        <v>55922724.180512421</v>
      </c>
      <c r="D12" s="253">
        <f>D7*Parametros!$C145</f>
        <v>57104771.664662719</v>
      </c>
      <c r="E12" s="253">
        <f>E7*Parametros!$C145</f>
        <v>57905592.159590282</v>
      </c>
      <c r="F12" s="253">
        <f>F7*Parametros!$C145</f>
        <v>59149744.912966065</v>
      </c>
      <c r="G12" s="253">
        <f>G7*Parametros!$C145</f>
        <v>60455801.116275668</v>
      </c>
      <c r="H12" s="253">
        <f>H7*Parametros!$C145</f>
        <v>62145206.774038732</v>
      </c>
      <c r="I12" s="253">
        <f>I7*Parametros!$C145</f>
        <v>63395668.963756777</v>
      </c>
      <c r="J12" s="253">
        <f>J7*Parametros!$C145</f>
        <v>64760088.128142968</v>
      </c>
      <c r="K12" s="253">
        <f>K7*Parametros!$C145</f>
        <v>66071407.056141585</v>
      </c>
    </row>
    <row r="13" spans="2:11">
      <c r="B13" s="275" t="s">
        <v>574</v>
      </c>
      <c r="C13" s="59">
        <f>Parametros!C165</f>
        <v>9000000</v>
      </c>
      <c r="D13" s="59">
        <f>C12</f>
        <v>55922724.180512421</v>
      </c>
      <c r="E13" s="59">
        <f t="shared" ref="E13:K13" si="1">D12</f>
        <v>57104771.664662719</v>
      </c>
      <c r="F13" s="59">
        <f t="shared" si="1"/>
        <v>57905592.159590282</v>
      </c>
      <c r="G13" s="59">
        <f t="shared" si="1"/>
        <v>59149744.912966065</v>
      </c>
      <c r="H13" s="59">
        <f t="shared" si="1"/>
        <v>60455801.116275668</v>
      </c>
      <c r="I13" s="59">
        <f t="shared" si="1"/>
        <v>62145206.774038732</v>
      </c>
      <c r="J13" s="59">
        <f t="shared" si="1"/>
        <v>63395668.963756777</v>
      </c>
      <c r="K13" s="59">
        <f t="shared" si="1"/>
        <v>64760088.128142968</v>
      </c>
    </row>
    <row r="14" spans="2:11">
      <c r="B14" s="276" t="s">
        <v>575</v>
      </c>
      <c r="C14" s="277">
        <f>SUM(C11:C13)</f>
        <v>82398575.486922547</v>
      </c>
      <c r="D14" s="277">
        <f t="shared" ref="D14:K14" si="2">SUM(D11:D13)</f>
        <v>130872736.99038225</v>
      </c>
      <c r="E14" s="277">
        <f t="shared" si="2"/>
        <v>133105861.37412496</v>
      </c>
      <c r="F14" s="277">
        <f t="shared" si="2"/>
        <v>135539632.35785824</v>
      </c>
      <c r="G14" s="277">
        <f t="shared" si="2"/>
        <v>138497983.87807789</v>
      </c>
      <c r="H14" s="277">
        <f t="shared" si="2"/>
        <v>142021385.00720149</v>
      </c>
      <c r="I14" s="277">
        <f t="shared" si="2"/>
        <v>145352022.28896952</v>
      </c>
      <c r="J14" s="277">
        <f t="shared" si="2"/>
        <v>148393284.63194442</v>
      </c>
      <c r="K14" s="277">
        <f t="shared" si="2"/>
        <v>151478809.88932878</v>
      </c>
    </row>
    <row r="15" spans="2:11">
      <c r="C15" s="14"/>
      <c r="D15" s="14"/>
      <c r="E15" s="14"/>
      <c r="F15" s="14"/>
      <c r="G15" s="14"/>
      <c r="H15" s="14"/>
      <c r="I15" s="14"/>
      <c r="J15" s="14"/>
      <c r="K15" s="14"/>
    </row>
    <row r="16" spans="2:11" ht="28">
      <c r="B16" s="278" t="s">
        <v>308</v>
      </c>
      <c r="C16" s="253">
        <f>C7*Parametros!$C145</f>
        <v>55922724.180512421</v>
      </c>
      <c r="D16" s="253">
        <f>D7*Parametros!$C145</f>
        <v>57104771.664662719</v>
      </c>
      <c r="E16" s="253">
        <f>E7*Parametros!$C145</f>
        <v>57905592.159590282</v>
      </c>
      <c r="F16" s="253">
        <f>F7*Parametros!$C145</f>
        <v>59149744.912966065</v>
      </c>
      <c r="G16" s="253">
        <f>G7*Parametros!$C145</f>
        <v>60455801.116275668</v>
      </c>
      <c r="H16" s="253">
        <f>H7*Parametros!$C145</f>
        <v>62145206.774038732</v>
      </c>
      <c r="I16" s="253">
        <f>I7*Parametros!$C145</f>
        <v>63395668.963756777</v>
      </c>
      <c r="J16" s="253">
        <f>J7*Parametros!$C145</f>
        <v>64760088.128142968</v>
      </c>
      <c r="K16" s="253">
        <f>K7*Parametros!$C145</f>
        <v>66071407.056141585</v>
      </c>
    </row>
    <row r="17" spans="2:11" ht="28">
      <c r="B17" s="278" t="s">
        <v>309</v>
      </c>
      <c r="C17" s="253">
        <f>Parametros!C165</f>
        <v>9000000</v>
      </c>
      <c r="D17" s="253">
        <f>C7*Parametros!$C146</f>
        <v>13980681.045128105</v>
      </c>
      <c r="E17" s="253">
        <f>D7*Parametros!$C146</f>
        <v>14276192.91616568</v>
      </c>
      <c r="F17" s="253">
        <f>E7*Parametros!$C146</f>
        <v>14476398.03989757</v>
      </c>
      <c r="G17" s="253">
        <f>F7*Parametros!$C146</f>
        <v>14787436.228241516</v>
      </c>
      <c r="H17" s="253">
        <f>G7*Parametros!$C146</f>
        <v>15113950.279068917</v>
      </c>
      <c r="I17" s="253">
        <f>H7*Parametros!$C146</f>
        <v>15536301.693509683</v>
      </c>
      <c r="J17" s="253">
        <f>I7*Parametros!$C146</f>
        <v>15848917.240939194</v>
      </c>
      <c r="K17" s="253">
        <f>J7*Parametros!$C146</f>
        <v>16190022.032035742</v>
      </c>
    </row>
    <row r="18" spans="2:11">
      <c r="B18" s="266" t="s">
        <v>310</v>
      </c>
      <c r="C18" s="253">
        <f>C16+C17</f>
        <v>64922724.180512421</v>
      </c>
      <c r="D18" s="253">
        <f t="shared" ref="D18:K18" si="3">D16+D17</f>
        <v>71085452.709790826</v>
      </c>
      <c r="E18" s="253">
        <f t="shared" si="3"/>
        <v>72181785.075755954</v>
      </c>
      <c r="F18" s="253">
        <f t="shared" si="3"/>
        <v>73626142.952863634</v>
      </c>
      <c r="G18" s="253">
        <f t="shared" si="3"/>
        <v>75243237.344517186</v>
      </c>
      <c r="H18" s="253">
        <f t="shared" si="3"/>
        <v>77259157.053107649</v>
      </c>
      <c r="I18" s="253">
        <f t="shared" si="3"/>
        <v>78931970.657266468</v>
      </c>
      <c r="J18" s="253">
        <f t="shared" si="3"/>
        <v>80609005.369082168</v>
      </c>
      <c r="K18" s="253">
        <f t="shared" si="3"/>
        <v>82261429.088177323</v>
      </c>
    </row>
    <row r="19" spans="2:11">
      <c r="B19" s="68"/>
      <c r="C19" s="14"/>
      <c r="D19" s="14"/>
      <c r="E19" s="14"/>
      <c r="F19" s="14"/>
      <c r="G19" s="14"/>
      <c r="H19" s="14"/>
      <c r="I19" s="14"/>
      <c r="J19" s="14"/>
      <c r="K19" s="14"/>
    </row>
    <row r="20" spans="2:11">
      <c r="B20" s="266" t="s">
        <v>311</v>
      </c>
      <c r="C20" s="253">
        <f>C6+C18</f>
        <v>82398575.486922547</v>
      </c>
      <c r="D20" s="253">
        <f t="shared" ref="D20:K20" si="4">D6+D18</f>
        <v>88930693.854997933</v>
      </c>
      <c r="E20" s="253">
        <f t="shared" si="4"/>
        <v>90277282.62562792</v>
      </c>
      <c r="F20" s="253">
        <f t="shared" si="4"/>
        <v>92110438.238165528</v>
      </c>
      <c r="G20" s="253">
        <f t="shared" si="4"/>
        <v>94135675.193353325</v>
      </c>
      <c r="H20" s="253">
        <f t="shared" si="4"/>
        <v>96679534.169994757</v>
      </c>
      <c r="I20" s="253">
        <f t="shared" si="4"/>
        <v>98743117.208440453</v>
      </c>
      <c r="J20" s="253">
        <f t="shared" si="4"/>
        <v>100846532.90912685</v>
      </c>
      <c r="K20" s="253">
        <f t="shared" si="4"/>
        <v>102908743.79322156</v>
      </c>
    </row>
    <row r="21" spans="2:11">
      <c r="B21" s="266" t="s">
        <v>312</v>
      </c>
      <c r="C21" s="253">
        <f>C7*Parametros!$C146</f>
        <v>13980681.045128105</v>
      </c>
      <c r="D21" s="253">
        <f>D7*Parametros!$C146</f>
        <v>14276192.91616568</v>
      </c>
      <c r="E21" s="253">
        <f>E7*Parametros!$C146</f>
        <v>14476398.03989757</v>
      </c>
      <c r="F21" s="253">
        <f>F7*Parametros!$C146</f>
        <v>14787436.228241516</v>
      </c>
      <c r="G21" s="253">
        <f>G7*Parametros!$C146</f>
        <v>15113950.279068917</v>
      </c>
      <c r="H21" s="253">
        <f>H7*Parametros!$C146</f>
        <v>15536301.693509683</v>
      </c>
      <c r="I21" s="253">
        <f>I7*Parametros!$C146</f>
        <v>15848917.240939194</v>
      </c>
      <c r="J21" s="253">
        <f>J7*Parametros!$C146</f>
        <v>16190022.032035742</v>
      </c>
      <c r="K21" s="253">
        <f>K7*Parametros!$C146</f>
        <v>16517851.764035396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B3" sqref="B3"/>
    </sheetView>
  </sheetViews>
  <sheetFormatPr baseColWidth="10" defaultRowHeight="15" x14ac:dyDescent="0"/>
  <cols>
    <col min="2" max="2" width="24.5" customWidth="1"/>
  </cols>
  <sheetData>
    <row r="2" spans="2:11" ht="20">
      <c r="B2" s="31" t="s">
        <v>522</v>
      </c>
    </row>
    <row r="4" spans="2:11">
      <c r="B4" s="227" t="s">
        <v>243</v>
      </c>
    </row>
    <row r="5" spans="2:11" ht="18">
      <c r="C5" s="228">
        <v>2013</v>
      </c>
      <c r="D5" s="228">
        <v>2014</v>
      </c>
      <c r="E5" s="228">
        <v>2015</v>
      </c>
      <c r="F5" s="228">
        <v>2016</v>
      </c>
      <c r="G5" s="228">
        <v>2017</v>
      </c>
      <c r="H5" s="228">
        <v>2018</v>
      </c>
      <c r="I5" s="228">
        <v>2019</v>
      </c>
      <c r="J5" s="228">
        <v>2020</v>
      </c>
      <c r="K5" s="228">
        <v>2021</v>
      </c>
    </row>
    <row r="6" spans="2:11">
      <c r="B6" s="229" t="s">
        <v>436</v>
      </c>
      <c r="C6" s="18">
        <f>'Personal y Servicios'!C25</f>
        <v>0</v>
      </c>
      <c r="D6" s="18">
        <f>'Personal y Servicios'!D25</f>
        <v>0</v>
      </c>
      <c r="E6" s="18">
        <f>'Personal y Servicios'!E25</f>
        <v>0</v>
      </c>
      <c r="F6" s="18">
        <f>'Personal y Servicios'!F25</f>
        <v>0</v>
      </c>
      <c r="G6" s="18">
        <f>'Personal y Servicios'!G25</f>
        <v>0</v>
      </c>
      <c r="H6" s="18">
        <f>'Personal y Servicios'!H25</f>
        <v>0</v>
      </c>
      <c r="I6" s="18">
        <f>'Personal y Servicios'!I25</f>
        <v>0</v>
      </c>
      <c r="J6" s="18">
        <f>'Personal y Servicios'!J25</f>
        <v>0</v>
      </c>
      <c r="K6" s="18">
        <f>'Personal y Servicios'!K25</f>
        <v>0</v>
      </c>
    </row>
    <row r="7" spans="2:11">
      <c r="B7" s="229" t="s">
        <v>437</v>
      </c>
      <c r="C7" s="18">
        <f>Parametros!$C$129*'Plan de Ventas'!C25</f>
        <v>3063612.457627119</v>
      </c>
      <c r="D7" s="18">
        <f>Parametros!$C$129*'Plan de Ventas'!D25</f>
        <v>3132417.298796949</v>
      </c>
      <c r="E7" s="18">
        <f>Parametros!$C$129*'Plan de Ventas'!E25</f>
        <v>3207071.9956953572</v>
      </c>
      <c r="F7" s="18">
        <f>Parametros!$C$129*'Plan de Ventas'!F25</f>
        <v>3274424.6261226498</v>
      </c>
      <c r="G7" s="18">
        <f>Parametros!$C$129*'Plan de Ventas'!G25</f>
        <v>3346347.1877267077</v>
      </c>
      <c r="H7" s="18">
        <f>Parametros!$C$129*'Plan de Ventas'!H25</f>
        <v>3438970.5076387189</v>
      </c>
      <c r="I7" s="18">
        <f>Parametros!$C$129*'Plan de Ventas'!I25</f>
        <v>3509258.3920880035</v>
      </c>
      <c r="J7" s="18">
        <f>Parametros!$C$129*'Plan de Ventas'!J25</f>
        <v>3584504.8647781834</v>
      </c>
      <c r="K7" s="18">
        <f>Parametros!$C$129*'Plan de Ventas'!K25</f>
        <v>3657477.9218236264</v>
      </c>
    </row>
    <row r="8" spans="2:11">
      <c r="B8" s="229" t="s">
        <v>438</v>
      </c>
      <c r="C8" s="18">
        <f>Parametros!$C$127*(SUM('Plan de Ventas'!C7:C9)/1000)</f>
        <v>561.4799999999999</v>
      </c>
      <c r="D8" s="18">
        <f>Parametros!$C$127*(SUM('Plan de Ventas'!D7:D9)/1000)</f>
        <v>567.84506999999996</v>
      </c>
      <c r="E8" s="18">
        <f>Parametros!$C$127*(SUM('Plan de Ventas'!E7:E9)/1000)</f>
        <v>572.86490474999982</v>
      </c>
      <c r="F8" s="18">
        <f>Parametros!$C$127*(SUM('Plan de Ventas'!F7:F9)/1000)</f>
        <v>579.13660562324992</v>
      </c>
      <c r="G8" s="18">
        <f>Parametros!$C$127*(SUM('Plan de Ventas'!G7:G9)/1000)</f>
        <v>585.43737196057202</v>
      </c>
      <c r="H8" s="18">
        <f>Parametros!$C$127*(SUM('Plan de Ventas'!H7:H9)/1000)</f>
        <v>592.7354604265098</v>
      </c>
      <c r="I8" s="18">
        <f>Parametros!$C$127*(SUM('Plan de Ventas'!I7:I9)/1000)</f>
        <v>598.86281017178635</v>
      </c>
      <c r="J8" s="18">
        <f>Parametros!$C$127*(SUM('Plan de Ventas'!J7:J9)/1000)</f>
        <v>605.64477371872249</v>
      </c>
      <c r="K8" s="18">
        <f>Parametros!$C$127*(SUM('Plan de Ventas'!K7:K9)/1000)</f>
        <v>611.86550753298786</v>
      </c>
    </row>
    <row r="10" spans="2:11">
      <c r="B10" s="230" t="s">
        <v>439</v>
      </c>
      <c r="C10" s="18">
        <f>SUM(C6:C8)</f>
        <v>3064173.937627119</v>
      </c>
      <c r="D10" s="18">
        <f t="shared" ref="D10:K10" si="0">SUM(D6:D8)</f>
        <v>3132985.1438669488</v>
      </c>
      <c r="E10" s="18">
        <f t="shared" si="0"/>
        <v>3207644.8606001073</v>
      </c>
      <c r="F10" s="18">
        <f t="shared" si="0"/>
        <v>3275003.7627282729</v>
      </c>
      <c r="G10" s="18">
        <f t="shared" si="0"/>
        <v>3346932.625098668</v>
      </c>
      <c r="H10" s="18">
        <f t="shared" si="0"/>
        <v>3439563.2430991456</v>
      </c>
      <c r="I10" s="18">
        <f t="shared" si="0"/>
        <v>3509857.2548981751</v>
      </c>
      <c r="J10" s="18">
        <f t="shared" si="0"/>
        <v>3585110.5095519023</v>
      </c>
      <c r="K10" s="18">
        <f t="shared" si="0"/>
        <v>3658089.7873311592</v>
      </c>
    </row>
    <row r="11" spans="2:11">
      <c r="C11" s="14"/>
      <c r="D11" s="14"/>
      <c r="E11" s="14"/>
      <c r="F11" s="14"/>
      <c r="G11" s="14"/>
      <c r="H11" s="14"/>
      <c r="I11" s="14"/>
      <c r="J11" s="14"/>
      <c r="K11" s="14"/>
    </row>
    <row r="12" spans="2:11">
      <c r="B12" s="227" t="s">
        <v>440</v>
      </c>
    </row>
    <row r="13" spans="2:11" ht="18">
      <c r="C13" s="228">
        <v>2013</v>
      </c>
      <c r="D13" s="228">
        <v>2014</v>
      </c>
      <c r="E13" s="228">
        <v>2015</v>
      </c>
      <c r="F13" s="228">
        <v>2016</v>
      </c>
      <c r="G13" s="228">
        <v>2017</v>
      </c>
      <c r="H13" s="228">
        <v>2018</v>
      </c>
      <c r="I13" s="228">
        <v>2019</v>
      </c>
      <c r="J13" s="228">
        <v>2020</v>
      </c>
      <c r="K13" s="228">
        <v>2021</v>
      </c>
    </row>
    <row r="14" spans="2:11">
      <c r="B14" s="229" t="s">
        <v>441</v>
      </c>
      <c r="C14" s="231">
        <f>'Personal y Servicios'!C22</f>
        <v>50570540.371111102</v>
      </c>
      <c r="D14" s="231">
        <f>'Personal y Servicios'!D22</f>
        <v>51123852.380072221</v>
      </c>
      <c r="E14" s="231">
        <f>'Personal y Servicios'!E22</f>
        <v>51629827.308585577</v>
      </c>
      <c r="F14" s="231">
        <f>'Personal y Servicios'!F22</f>
        <v>52459437.550656408</v>
      </c>
      <c r="G14" s="231">
        <f>'Personal y Servicios'!G22</f>
        <v>53171757.037393302</v>
      </c>
      <c r="H14" s="231">
        <f>'Personal y Servicios'!H22</f>
        <v>53823065.331906103</v>
      </c>
      <c r="I14" s="231">
        <f>'Personal y Servicios'!I22</f>
        <v>54914880.08703731</v>
      </c>
      <c r="J14" s="231">
        <f>'Personal y Servicios'!J22</f>
        <v>55542723.284748614</v>
      </c>
      <c r="K14" s="231">
        <f>'Personal y Servicios'!K22</f>
        <v>56006461.555352621</v>
      </c>
    </row>
    <row r="15" spans="2:11">
      <c r="B15" s="229" t="s">
        <v>442</v>
      </c>
      <c r="C15" s="231">
        <f>'Personal y Servicios'!C15</f>
        <v>527220</v>
      </c>
      <c r="D15" s="231">
        <f>'Personal y Servicios'!D15</f>
        <v>532492.19999999995</v>
      </c>
      <c r="E15" s="231">
        <f>'Personal y Servicios'!E15</f>
        <v>537817.12199999997</v>
      </c>
      <c r="F15" s="231">
        <f>'Personal y Servicios'!F15</f>
        <v>548573.46444000001</v>
      </c>
      <c r="G15" s="231">
        <f>'Personal y Servicios'!G15</f>
        <v>556802.06640659994</v>
      </c>
      <c r="H15" s="231">
        <f>'Personal y Servicios'!H15</f>
        <v>562370.0870706659</v>
      </c>
      <c r="I15" s="231">
        <f>'Personal y Servicios'!I15</f>
        <v>579241.18968278589</v>
      </c>
      <c r="J15" s="231">
        <f>'Personal y Servicios'!J15</f>
        <v>585033.60157961375</v>
      </c>
      <c r="K15" s="231">
        <f>'Personal y Servicios'!K15</f>
        <v>587958.76958751178</v>
      </c>
    </row>
    <row r="16" spans="2:11">
      <c r="B16" s="229" t="s">
        <v>443</v>
      </c>
      <c r="C16" s="231"/>
      <c r="D16" s="231"/>
      <c r="E16" s="231"/>
      <c r="F16" s="231"/>
      <c r="G16" s="231"/>
      <c r="H16" s="231"/>
      <c r="I16" s="231"/>
      <c r="J16" s="231"/>
      <c r="K16" s="231"/>
    </row>
    <row r="18" spans="2:11">
      <c r="B18" s="230" t="s">
        <v>444</v>
      </c>
      <c r="C18" s="231">
        <f>SUM(C14:C16)</f>
        <v>51097760.371111102</v>
      </c>
      <c r="D18" s="231">
        <f t="shared" ref="D18:K18" si="1">SUM(D14:D16)</f>
        <v>51656344.580072224</v>
      </c>
      <c r="E18" s="231">
        <f t="shared" si="1"/>
        <v>52167644.430585578</v>
      </c>
      <c r="F18" s="231">
        <f t="shared" si="1"/>
        <v>53008011.015096411</v>
      </c>
      <c r="G18" s="231">
        <f t="shared" si="1"/>
        <v>53728559.103799902</v>
      </c>
      <c r="H18" s="231">
        <f t="shared" si="1"/>
        <v>54385435.418976769</v>
      </c>
      <c r="I18" s="231">
        <f t="shared" si="1"/>
        <v>55494121.276720099</v>
      </c>
      <c r="J18" s="231">
        <f t="shared" si="1"/>
        <v>56127756.886328228</v>
      </c>
      <c r="K18" s="231">
        <f t="shared" si="1"/>
        <v>56594420.32494013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workbookViewId="0">
      <selection activeCell="C20" sqref="C20"/>
    </sheetView>
  </sheetViews>
  <sheetFormatPr baseColWidth="10" defaultRowHeight="15" x14ac:dyDescent="0"/>
  <cols>
    <col min="2" max="2" width="28.5" customWidth="1"/>
    <col min="3" max="11" width="18.1640625" customWidth="1"/>
  </cols>
  <sheetData>
    <row r="2" spans="2:11" ht="20">
      <c r="B2" s="28" t="s">
        <v>523</v>
      </c>
      <c r="C2" s="31"/>
      <c r="D2" s="31"/>
      <c r="E2" s="20"/>
      <c r="F2" s="20"/>
      <c r="G2" s="20"/>
      <c r="H2" s="20"/>
      <c r="I2" s="20"/>
      <c r="J2" s="20"/>
      <c r="K2" s="20"/>
    </row>
    <row r="3" spans="2:11" ht="20">
      <c r="B3" s="33"/>
      <c r="C3" s="33"/>
      <c r="D3" s="33"/>
      <c r="E3" s="20"/>
      <c r="F3" s="20"/>
      <c r="G3" s="20"/>
      <c r="H3" s="20"/>
      <c r="I3" s="20"/>
      <c r="J3" s="20"/>
      <c r="K3" s="20"/>
    </row>
    <row r="4" spans="2:11" ht="18">
      <c r="B4" s="333" t="s">
        <v>453</v>
      </c>
      <c r="C4" s="333"/>
      <c r="D4" s="333"/>
      <c r="E4" s="146"/>
      <c r="F4" s="146"/>
      <c r="G4" s="146"/>
      <c r="H4" s="146"/>
      <c r="I4" s="146"/>
      <c r="J4" s="146"/>
      <c r="K4" s="146"/>
    </row>
    <row r="5" spans="2:11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ht="18">
      <c r="B6" s="106" t="s">
        <v>327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75" t="s">
        <v>150</v>
      </c>
      <c r="C7" s="61">
        <f>'Plan de Ventas'!C34-('Plan de Ventas'!C34/(1+Parametros!$C$126))</f>
        <v>27572512.118644059</v>
      </c>
      <c r="D7" s="61">
        <f>'Plan de Ventas'!D34-('Plan de Ventas'!D34/(1+Parametros!$C$126))</f>
        <v>28191755.689172536</v>
      </c>
      <c r="E7" s="61">
        <f>'Plan de Ventas'!E34-('Plan de Ventas'!E34/(1+Parametros!$C$126))</f>
        <v>28863647.961258203</v>
      </c>
      <c r="F7" s="61">
        <f>'Plan de Ventas'!F34-('Plan de Ventas'!F34/(1+Parametros!$C$126))</f>
        <v>29469821.635103852</v>
      </c>
      <c r="G7" s="61">
        <f>'Plan de Ventas'!G34-('Plan de Ventas'!G34/(1+Parametros!$C$126))</f>
        <v>30117124.689540356</v>
      </c>
      <c r="H7" s="61">
        <f>'Plan de Ventas'!H34-('Plan de Ventas'!H34/(1+Parametros!$C$126))</f>
        <v>30950734.568748474</v>
      </c>
      <c r="I7" s="61">
        <f>'Plan de Ventas'!I34-('Plan de Ventas'!I34/(1+Parametros!$C$126))</f>
        <v>31583325.528792024</v>
      </c>
      <c r="J7" s="61">
        <f>'Plan de Ventas'!J34-('Plan de Ventas'!J34/(1+Parametros!$C$126))</f>
        <v>32260543.783003628</v>
      </c>
      <c r="K7" s="61">
        <f>'Plan de Ventas'!K34-('Plan de Ventas'!K34/(1+Parametros!$C$126))</f>
        <v>32917301.296412617</v>
      </c>
    </row>
    <row r="8" spans="2:11">
      <c r="B8" s="175" t="s">
        <v>151</v>
      </c>
      <c r="C8" s="61">
        <f>'Compras Valorizadas'!C17*(1-1/(1+Parametros!$C$126))</f>
        <v>13329039.132007718</v>
      </c>
      <c r="D8" s="61">
        <f>'Compras Valorizadas'!D17*(1-1/(1+Parametros!$C$126))</f>
        <v>13610777.144649476</v>
      </c>
      <c r="E8" s="61">
        <f>'Compras Valorizadas'!E17*(1-1/(1+Parametros!$C$126))</f>
        <v>13801650.673631152</v>
      </c>
      <c r="F8" s="61">
        <f>'Compras Valorizadas'!F17*(1-1/(1+Parametros!$C$126))</f>
        <v>14098191.319298048</v>
      </c>
      <c r="G8" s="61">
        <f>'Compras Valorizadas'!G17*(1-1/(1+Parametros!$C$126))</f>
        <v>14409486.494875019</v>
      </c>
      <c r="H8" s="61">
        <f>'Compras Valorizadas'!H17*(1-1/(1+Parametros!$C$126))</f>
        <v>14812152.038303716</v>
      </c>
      <c r="I8" s="61">
        <f>'Compras Valorizadas'!I17*(1-1/(1+Parametros!$C$126))</f>
        <v>15110196.52208185</v>
      </c>
      <c r="J8" s="61">
        <f>'Compras Valorizadas'!J17*(1-1/(1+Parametros!$C$126))</f>
        <v>15435402.361051016</v>
      </c>
      <c r="K8" s="61">
        <f>'Compras Valorizadas'!K17*(1-1/(1+Parametros!$C$126))</f>
        <v>15747951.893677805</v>
      </c>
    </row>
    <row r="9" spans="2:11">
      <c r="B9" s="175" t="s">
        <v>152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</row>
    <row r="10" spans="2:11">
      <c r="B10" s="175" t="s">
        <v>153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</row>
    <row r="11" spans="2:11">
      <c r="B11" s="148" t="s">
        <v>154</v>
      </c>
      <c r="C11" s="61">
        <f>C7-C8+C9-C10</f>
        <v>14243472.986636341</v>
      </c>
      <c r="D11" s="61">
        <f t="shared" ref="D11:K11" si="0">D7-D8+D9-D10</f>
        <v>14580978.54452306</v>
      </c>
      <c r="E11" s="61">
        <f t="shared" si="0"/>
        <v>15061997.287627051</v>
      </c>
      <c r="F11" s="61">
        <f t="shared" si="0"/>
        <v>15371630.315805804</v>
      </c>
      <c r="G11" s="61">
        <f t="shared" si="0"/>
        <v>15707638.194665337</v>
      </c>
      <c r="H11" s="61">
        <f t="shared" si="0"/>
        <v>16138582.530444758</v>
      </c>
      <c r="I11" s="61">
        <f t="shared" si="0"/>
        <v>16473129.006710174</v>
      </c>
      <c r="J11" s="61">
        <f t="shared" si="0"/>
        <v>16825141.421952613</v>
      </c>
      <c r="K11" s="61">
        <f t="shared" si="0"/>
        <v>17169349.402734812</v>
      </c>
    </row>
    <row r="12" spans="2:11" ht="10" customHeight="1"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2:11" ht="10" customHeight="1"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2:11" ht="18">
      <c r="B14" s="217" t="s">
        <v>327</v>
      </c>
      <c r="C14" s="218">
        <v>2013</v>
      </c>
      <c r="D14" s="218">
        <v>2014</v>
      </c>
      <c r="E14" s="218">
        <v>2015</v>
      </c>
      <c r="F14" s="218">
        <v>2016</v>
      </c>
      <c r="G14" s="218">
        <v>2017</v>
      </c>
      <c r="H14" s="218">
        <v>2018</v>
      </c>
      <c r="I14" s="218">
        <v>2019</v>
      </c>
      <c r="J14" s="218">
        <v>2020</v>
      </c>
      <c r="K14" s="218">
        <v>2021</v>
      </c>
    </row>
    <row r="15" spans="2:11">
      <c r="B15" s="71" t="s">
        <v>416</v>
      </c>
      <c r="C15" s="219">
        <f>'Balance general'!C9</f>
        <v>3548950</v>
      </c>
      <c r="D15" s="219">
        <f>C18</f>
        <v>0</v>
      </c>
      <c r="E15" s="219">
        <f t="shared" ref="E15:K15" si="1">D18</f>
        <v>0</v>
      </c>
      <c r="F15" s="219">
        <f t="shared" si="1"/>
        <v>0</v>
      </c>
      <c r="G15" s="219">
        <f t="shared" si="1"/>
        <v>0</v>
      </c>
      <c r="H15" s="219">
        <f t="shared" si="1"/>
        <v>0</v>
      </c>
      <c r="I15" s="219">
        <f t="shared" si="1"/>
        <v>0</v>
      </c>
      <c r="J15" s="219">
        <f t="shared" si="1"/>
        <v>0</v>
      </c>
      <c r="K15" s="219">
        <f t="shared" si="1"/>
        <v>0</v>
      </c>
    </row>
    <row r="16" spans="2:11">
      <c r="B16" s="71" t="s">
        <v>417</v>
      </c>
      <c r="C16" s="219">
        <f>IF(C11&lt;0,-C11,0)</f>
        <v>0</v>
      </c>
      <c r="D16" s="219">
        <f t="shared" ref="D16:K16" si="2">IF(D11&lt;0,-D11,0)</f>
        <v>0</v>
      </c>
      <c r="E16" s="219">
        <f t="shared" si="2"/>
        <v>0</v>
      </c>
      <c r="F16" s="219">
        <f t="shared" si="2"/>
        <v>0</v>
      </c>
      <c r="G16" s="219">
        <f t="shared" si="2"/>
        <v>0</v>
      </c>
      <c r="H16" s="219">
        <f t="shared" si="2"/>
        <v>0</v>
      </c>
      <c r="I16" s="219">
        <f t="shared" si="2"/>
        <v>0</v>
      </c>
      <c r="J16" s="219">
        <f t="shared" si="2"/>
        <v>0</v>
      </c>
      <c r="K16" s="219">
        <f t="shared" si="2"/>
        <v>0</v>
      </c>
    </row>
    <row r="17" spans="2:11">
      <c r="B17" s="71" t="s">
        <v>418</v>
      </c>
      <c r="C17" s="219">
        <f>IF(C11&gt;0,IF(C15&gt;C11,C11,C15),0)</f>
        <v>3548950</v>
      </c>
      <c r="D17" s="219">
        <f t="shared" ref="D17:K17" si="3">IF(D11&gt;0,IF(D15&gt;D11,D11,D15),0)</f>
        <v>0</v>
      </c>
      <c r="E17" s="219">
        <f t="shared" si="3"/>
        <v>0</v>
      </c>
      <c r="F17" s="219">
        <f t="shared" si="3"/>
        <v>0</v>
      </c>
      <c r="G17" s="219">
        <f t="shared" si="3"/>
        <v>0</v>
      </c>
      <c r="H17" s="219">
        <f t="shared" si="3"/>
        <v>0</v>
      </c>
      <c r="I17" s="219">
        <f t="shared" si="3"/>
        <v>0</v>
      </c>
      <c r="J17" s="219">
        <f t="shared" si="3"/>
        <v>0</v>
      </c>
      <c r="K17" s="219">
        <f t="shared" si="3"/>
        <v>0</v>
      </c>
    </row>
    <row r="18" spans="2:11">
      <c r="B18" s="220" t="s">
        <v>419</v>
      </c>
      <c r="C18" s="221">
        <f>C15+C16-C17</f>
        <v>0</v>
      </c>
      <c r="D18" s="221">
        <f t="shared" ref="D18:K18" si="4">D15+D16-D17</f>
        <v>0</v>
      </c>
      <c r="E18" s="221">
        <f t="shared" si="4"/>
        <v>0</v>
      </c>
      <c r="F18" s="221">
        <f t="shared" si="4"/>
        <v>0</v>
      </c>
      <c r="G18" s="221">
        <f t="shared" si="4"/>
        <v>0</v>
      </c>
      <c r="H18" s="221">
        <f t="shared" si="4"/>
        <v>0</v>
      </c>
      <c r="I18" s="221">
        <f t="shared" si="4"/>
        <v>0</v>
      </c>
      <c r="J18" s="221">
        <f t="shared" si="4"/>
        <v>0</v>
      </c>
      <c r="K18" s="221">
        <f t="shared" si="4"/>
        <v>0</v>
      </c>
    </row>
    <row r="19" spans="2:11">
      <c r="B19" s="222"/>
      <c r="C19" s="223"/>
      <c r="D19" s="223"/>
      <c r="E19" s="223"/>
      <c r="F19" s="223"/>
      <c r="G19" s="223"/>
      <c r="H19" s="223"/>
      <c r="I19" s="223"/>
      <c r="J19" s="223"/>
      <c r="K19" s="223"/>
    </row>
    <row r="20" spans="2:11">
      <c r="B20" s="224" t="s">
        <v>420</v>
      </c>
      <c r="C20" s="292">
        <f>IF(C11&gt;0,C11-C17,0)</f>
        <v>10694522.986636341</v>
      </c>
      <c r="D20" s="292">
        <f>IF(D11&gt;0,D11-D17,0)</f>
        <v>14580978.54452306</v>
      </c>
      <c r="E20" s="292">
        <f t="shared" ref="E20:J20" si="5">IF(E11&gt;0,E11-E17,0)</f>
        <v>15061997.287627051</v>
      </c>
      <c r="F20" s="292">
        <f>IF(F11&gt;0,F11-F17,0)</f>
        <v>15371630.315805804</v>
      </c>
      <c r="G20" s="292">
        <f t="shared" si="5"/>
        <v>15707638.194665337</v>
      </c>
      <c r="H20" s="292">
        <f t="shared" si="5"/>
        <v>16138582.530444758</v>
      </c>
      <c r="I20" s="292">
        <f t="shared" si="5"/>
        <v>16473129.006710174</v>
      </c>
      <c r="J20" s="292">
        <f t="shared" si="5"/>
        <v>16825141.421952613</v>
      </c>
      <c r="K20" s="292">
        <f>IF(K11&gt;0,K11-K17,0)</f>
        <v>17169349.402734812</v>
      </c>
    </row>
    <row r="21" spans="2:11">
      <c r="B21" s="110"/>
      <c r="C21" s="110"/>
      <c r="D21" s="110"/>
      <c r="E21" s="110"/>
      <c r="F21" s="110"/>
      <c r="G21" s="110"/>
      <c r="H21" s="110"/>
      <c r="I21" s="110"/>
      <c r="J21" s="110"/>
      <c r="K21" s="110"/>
    </row>
    <row r="22" spans="2:11" ht="18" customHeight="1">
      <c r="B22" s="333" t="s">
        <v>454</v>
      </c>
      <c r="C22" s="333"/>
      <c r="D22" s="333"/>
      <c r="E22" s="110"/>
      <c r="F22" s="110"/>
      <c r="G22" s="110"/>
      <c r="H22" s="110"/>
      <c r="I22" s="110"/>
      <c r="J22" s="110"/>
      <c r="K22" s="110"/>
    </row>
    <row r="23" spans="2:11">
      <c r="B23" s="110"/>
      <c r="C23" s="110"/>
      <c r="D23" s="110"/>
      <c r="E23" s="110"/>
      <c r="F23" s="110"/>
      <c r="G23" s="110"/>
      <c r="H23" s="110"/>
      <c r="I23" s="110"/>
      <c r="J23" s="110"/>
      <c r="K23" s="110"/>
    </row>
    <row r="24" spans="2:11">
      <c r="B24" s="225" t="s">
        <v>421</v>
      </c>
      <c r="C24" s="110"/>
      <c r="D24" s="110"/>
      <c r="E24" s="110"/>
      <c r="F24" s="110"/>
      <c r="G24" s="110"/>
      <c r="H24" s="110"/>
      <c r="I24" s="110"/>
      <c r="J24" s="110"/>
      <c r="K24" s="110"/>
    </row>
    <row r="25" spans="2:11">
      <c r="B25" s="110"/>
      <c r="C25" s="110"/>
      <c r="D25" s="110"/>
      <c r="E25" s="110"/>
      <c r="F25" s="110"/>
      <c r="G25" s="110"/>
      <c r="H25" s="110"/>
      <c r="I25" s="110"/>
      <c r="J25" s="110"/>
      <c r="K25" s="110"/>
    </row>
    <row r="26" spans="2:11" ht="18">
      <c r="B26" s="217" t="s">
        <v>327</v>
      </c>
      <c r="C26" s="218">
        <v>2013</v>
      </c>
      <c r="D26" s="218">
        <v>2014</v>
      </c>
      <c r="E26" s="218">
        <v>2015</v>
      </c>
      <c r="F26" s="218">
        <v>2016</v>
      </c>
      <c r="G26" s="218">
        <v>2017</v>
      </c>
      <c r="H26" s="218">
        <v>2018</v>
      </c>
      <c r="I26" s="218">
        <v>2019</v>
      </c>
      <c r="J26" s="218">
        <v>2020</v>
      </c>
      <c r="K26" s="218">
        <v>2021</v>
      </c>
    </row>
    <row r="27" spans="2:11">
      <c r="B27" s="71" t="s">
        <v>422</v>
      </c>
      <c r="C27" s="293">
        <f>EGP!C18</f>
        <v>-57479057.222311921</v>
      </c>
      <c r="D27" s="293">
        <f>EGP!D18</f>
        <v>-77279005.81170398</v>
      </c>
      <c r="E27" s="293">
        <f>EGP!E18</f>
        <v>-78449627.356543586</v>
      </c>
      <c r="F27" s="293">
        <f>EGP!F18</f>
        <v>-80069652.704032138</v>
      </c>
      <c r="G27" s="293">
        <f>EGP!G18</f>
        <v>-81570544.989825994</v>
      </c>
      <c r="H27" s="293">
        <f>EGP!H18</f>
        <v>-82734748.814375505</v>
      </c>
      <c r="I27" s="293">
        <f>EGP!I18</f>
        <v>-84720254.253693312</v>
      </c>
      <c r="J27" s="293">
        <f>EGP!J18</f>
        <v>-86083809.188227355</v>
      </c>
      <c r="K27" s="293">
        <f>EGP!K18</f>
        <v>-87155485.276364386</v>
      </c>
    </row>
    <row r="28" spans="2:11" ht="28">
      <c r="B28" s="71" t="s">
        <v>423</v>
      </c>
      <c r="C28" s="293">
        <f t="shared" ref="C28:K28" si="6">C48</f>
        <v>0</v>
      </c>
      <c r="D28" s="293">
        <f t="shared" si="6"/>
        <v>0</v>
      </c>
      <c r="E28" s="293">
        <f t="shared" si="6"/>
        <v>0</v>
      </c>
      <c r="F28" s="293">
        <f t="shared" si="6"/>
        <v>0</v>
      </c>
      <c r="G28" s="293">
        <f t="shared" si="6"/>
        <v>0</v>
      </c>
      <c r="H28" s="293">
        <f t="shared" si="6"/>
        <v>0</v>
      </c>
      <c r="I28" s="293">
        <f t="shared" si="6"/>
        <v>0</v>
      </c>
      <c r="J28" s="293">
        <f t="shared" si="6"/>
        <v>0</v>
      </c>
      <c r="K28" s="293">
        <f t="shared" si="6"/>
        <v>0</v>
      </c>
    </row>
    <row r="29" spans="2:11">
      <c r="B29" s="71" t="s">
        <v>424</v>
      </c>
      <c r="C29" s="293">
        <f>C27-C28</f>
        <v>-57479057.222311921</v>
      </c>
      <c r="D29" s="293">
        <f t="shared" ref="D29:K29" si="7">D27-D28</f>
        <v>-77279005.81170398</v>
      </c>
      <c r="E29" s="293">
        <f t="shared" si="7"/>
        <v>-78449627.356543586</v>
      </c>
      <c r="F29" s="293">
        <f t="shared" si="7"/>
        <v>-80069652.704032138</v>
      </c>
      <c r="G29" s="293">
        <f t="shared" si="7"/>
        <v>-81570544.989825994</v>
      </c>
      <c r="H29" s="293">
        <f t="shared" si="7"/>
        <v>-82734748.814375505</v>
      </c>
      <c r="I29" s="293">
        <f t="shared" si="7"/>
        <v>-84720254.253693312</v>
      </c>
      <c r="J29" s="293">
        <f t="shared" si="7"/>
        <v>-86083809.188227355</v>
      </c>
      <c r="K29" s="293">
        <f t="shared" si="7"/>
        <v>-87155485.276364386</v>
      </c>
    </row>
    <row r="30" spans="2:11">
      <c r="B30" s="224" t="s">
        <v>425</v>
      </c>
      <c r="C30" s="294">
        <f>MAX(0,C29*Parametros!$C$127)</f>
        <v>0</v>
      </c>
      <c r="D30" s="294">
        <f>MAX(0,D29*Parametros!$C$127)</f>
        <v>0</v>
      </c>
      <c r="E30" s="294">
        <f>MAX(0,E29*Parametros!$C$127)</f>
        <v>0</v>
      </c>
      <c r="F30" s="294">
        <f>MAX(0,F29*Parametros!$C$127)</f>
        <v>0</v>
      </c>
      <c r="G30" s="294">
        <f>MAX(0,G29*Parametros!$C$127)</f>
        <v>0</v>
      </c>
      <c r="H30" s="294">
        <f>MAX(0,H29*Parametros!$C$127)</f>
        <v>0</v>
      </c>
      <c r="I30" s="294">
        <f>MAX(0,I29*Parametros!$C$127)</f>
        <v>0</v>
      </c>
      <c r="J30" s="294">
        <f>MAX(0,J29*Parametros!$C$127)</f>
        <v>0</v>
      </c>
      <c r="K30" s="294">
        <f>MAX(0,K29*Parametros!$C$127)</f>
        <v>0</v>
      </c>
    </row>
    <row r="31" spans="2:11" ht="28">
      <c r="B31" s="71" t="s">
        <v>426</v>
      </c>
      <c r="C31" s="293">
        <f t="shared" ref="C31:K31" si="8">C39</f>
        <v>-57479057.222311921</v>
      </c>
      <c r="D31" s="293">
        <f t="shared" si="8"/>
        <v>-77279005.81170398</v>
      </c>
      <c r="E31" s="293">
        <f t="shared" si="8"/>
        <v>-78449627.356543586</v>
      </c>
      <c r="F31" s="293">
        <f t="shared" si="8"/>
        <v>-80069652.704032138</v>
      </c>
      <c r="G31" s="293">
        <f t="shared" si="8"/>
        <v>-81570544.989825994</v>
      </c>
      <c r="H31" s="293">
        <f t="shared" si="8"/>
        <v>-82734748.814375505</v>
      </c>
      <c r="I31" s="293">
        <f t="shared" si="8"/>
        <v>-84720254.253693312</v>
      </c>
      <c r="J31" s="293">
        <f t="shared" si="8"/>
        <v>-86083809.188227355</v>
      </c>
      <c r="K31" s="293">
        <f t="shared" si="8"/>
        <v>-87155485.276364386</v>
      </c>
    </row>
    <row r="32" spans="2:11">
      <c r="B32" s="224" t="s">
        <v>427</v>
      </c>
      <c r="C32" s="294">
        <f>C30-C31</f>
        <v>57479057.222311921</v>
      </c>
      <c r="D32" s="294">
        <f t="shared" ref="D32:J32" si="9">D30-D31</f>
        <v>77279005.81170398</v>
      </c>
      <c r="E32" s="294">
        <f t="shared" si="9"/>
        <v>78449627.356543586</v>
      </c>
      <c r="F32" s="294">
        <f t="shared" si="9"/>
        <v>80069652.704032138</v>
      </c>
      <c r="G32" s="294">
        <f t="shared" si="9"/>
        <v>81570544.989825994</v>
      </c>
      <c r="H32" s="294">
        <f t="shared" si="9"/>
        <v>82734748.814375505</v>
      </c>
      <c r="I32" s="294">
        <f t="shared" si="9"/>
        <v>84720254.253693312</v>
      </c>
      <c r="J32" s="294">
        <f t="shared" si="9"/>
        <v>86083809.188227355</v>
      </c>
      <c r="K32" s="294">
        <f>K30-K31</f>
        <v>87155485.276364386</v>
      </c>
    </row>
    <row r="33" spans="2:11">
      <c r="B33" s="110"/>
      <c r="C33" s="110"/>
      <c r="D33" s="110"/>
      <c r="E33" s="110"/>
      <c r="F33" s="110"/>
      <c r="G33" s="110"/>
      <c r="H33" s="110"/>
      <c r="I33" s="110"/>
      <c r="J33" s="110"/>
      <c r="K33" s="110"/>
    </row>
    <row r="34" spans="2:11">
      <c r="B34" s="110"/>
      <c r="C34" s="110"/>
      <c r="D34" s="110"/>
      <c r="E34" s="110"/>
      <c r="F34" s="110"/>
      <c r="G34" s="110"/>
      <c r="H34" s="110"/>
      <c r="I34" s="110"/>
      <c r="J34" s="110"/>
      <c r="K34" s="110"/>
    </row>
    <row r="35" spans="2:11">
      <c r="B35" s="226" t="s">
        <v>428</v>
      </c>
      <c r="C35" s="110"/>
      <c r="D35" s="110"/>
      <c r="E35" s="110"/>
      <c r="F35" s="110"/>
      <c r="G35" s="110"/>
      <c r="H35" s="110"/>
      <c r="I35" s="110"/>
      <c r="J35" s="110"/>
      <c r="K35" s="110"/>
    </row>
    <row r="36" spans="2:11">
      <c r="B36" s="110"/>
      <c r="C36" s="110"/>
      <c r="D36" s="110"/>
      <c r="E36" s="110"/>
      <c r="F36" s="110"/>
      <c r="G36" s="110"/>
      <c r="H36" s="110"/>
      <c r="I36" s="110"/>
      <c r="J36" s="110"/>
      <c r="K36" s="110"/>
    </row>
    <row r="37" spans="2:11" ht="18">
      <c r="B37" s="217" t="s">
        <v>327</v>
      </c>
      <c r="C37" s="218">
        <v>2013</v>
      </c>
      <c r="D37" s="218">
        <v>2014</v>
      </c>
      <c r="E37" s="218">
        <v>2015</v>
      </c>
      <c r="F37" s="218">
        <v>2016</v>
      </c>
      <c r="G37" s="218">
        <v>2017</v>
      </c>
      <c r="H37" s="218">
        <v>2018</v>
      </c>
      <c r="I37" s="218">
        <v>2019</v>
      </c>
      <c r="J37" s="218">
        <v>2020</v>
      </c>
      <c r="K37" s="218">
        <v>2021</v>
      </c>
    </row>
    <row r="38" spans="2:11" ht="28">
      <c r="B38" s="71" t="s">
        <v>429</v>
      </c>
      <c r="C38" s="295">
        <v>0</v>
      </c>
      <c r="D38" s="295">
        <f>C40</f>
        <v>57479057.222311921</v>
      </c>
      <c r="E38" s="295">
        <f t="shared" ref="E38:K38" si="10">D40</f>
        <v>134758063.03401589</v>
      </c>
      <c r="F38" s="295">
        <f t="shared" si="10"/>
        <v>213207690.39055949</v>
      </c>
      <c r="G38" s="295">
        <f t="shared" si="10"/>
        <v>293277343.09459162</v>
      </c>
      <c r="H38" s="295">
        <f t="shared" si="10"/>
        <v>374847888.08441758</v>
      </c>
      <c r="I38" s="295">
        <f t="shared" si="10"/>
        <v>457582636.8987931</v>
      </c>
      <c r="J38" s="295">
        <f t="shared" si="10"/>
        <v>542302891.15248644</v>
      </c>
      <c r="K38" s="295">
        <f t="shared" si="10"/>
        <v>628386700.34071374</v>
      </c>
    </row>
    <row r="39" spans="2:11" ht="28">
      <c r="B39" s="71" t="s">
        <v>426</v>
      </c>
      <c r="C39" s="295">
        <f>IF(C29&gt;C38,C38,C29)</f>
        <v>-57479057.222311921</v>
      </c>
      <c r="D39" s="295">
        <f t="shared" ref="D39:K39" si="11">IF(D29&gt;D38,D38,D29)</f>
        <v>-77279005.81170398</v>
      </c>
      <c r="E39" s="295">
        <f t="shared" si="11"/>
        <v>-78449627.356543586</v>
      </c>
      <c r="F39" s="295">
        <f t="shared" si="11"/>
        <v>-80069652.704032138</v>
      </c>
      <c r="G39" s="295">
        <f t="shared" si="11"/>
        <v>-81570544.989825994</v>
      </c>
      <c r="H39" s="295">
        <f t="shared" si="11"/>
        <v>-82734748.814375505</v>
      </c>
      <c r="I39" s="295">
        <f t="shared" si="11"/>
        <v>-84720254.253693312</v>
      </c>
      <c r="J39" s="295">
        <f t="shared" si="11"/>
        <v>-86083809.188227355</v>
      </c>
      <c r="K39" s="295">
        <f t="shared" si="11"/>
        <v>-87155485.276364386</v>
      </c>
    </row>
    <row r="40" spans="2:11" ht="28">
      <c r="B40" s="224" t="s">
        <v>430</v>
      </c>
      <c r="C40" s="296">
        <f>C38-C39</f>
        <v>57479057.222311921</v>
      </c>
      <c r="D40" s="296">
        <f t="shared" ref="D40:K40" si="12">D38-D39</f>
        <v>134758063.03401589</v>
      </c>
      <c r="E40" s="296">
        <f t="shared" si="12"/>
        <v>213207690.39055949</v>
      </c>
      <c r="F40" s="296">
        <f t="shared" si="12"/>
        <v>293277343.09459162</v>
      </c>
      <c r="G40" s="296">
        <f t="shared" si="12"/>
        <v>374847888.08441758</v>
      </c>
      <c r="H40" s="296">
        <f t="shared" si="12"/>
        <v>457582636.8987931</v>
      </c>
      <c r="I40" s="296">
        <f t="shared" si="12"/>
        <v>542302891.15248644</v>
      </c>
      <c r="J40" s="296">
        <f t="shared" si="12"/>
        <v>628386700.34071374</v>
      </c>
      <c r="K40" s="296">
        <f t="shared" si="12"/>
        <v>715542185.61707807</v>
      </c>
    </row>
    <row r="41" spans="2:11">
      <c r="B41" s="110"/>
      <c r="C41" s="110"/>
      <c r="D41" s="110"/>
      <c r="E41" s="110"/>
      <c r="F41" s="110"/>
      <c r="G41" s="110"/>
      <c r="H41" s="110"/>
      <c r="I41" s="110"/>
      <c r="J41" s="110"/>
      <c r="K41" s="110"/>
    </row>
    <row r="42" spans="2:11">
      <c r="B42" s="110"/>
      <c r="C42" s="110"/>
      <c r="D42" s="110"/>
      <c r="E42" s="110"/>
      <c r="F42" s="110"/>
      <c r="G42" s="110"/>
      <c r="H42" s="110"/>
      <c r="I42" s="110"/>
      <c r="J42" s="110"/>
      <c r="K42" s="110"/>
    </row>
    <row r="43" spans="2:11">
      <c r="B43" s="226" t="s">
        <v>431</v>
      </c>
      <c r="C43" s="110"/>
      <c r="D43" s="110"/>
      <c r="E43" s="110"/>
      <c r="F43" s="110"/>
      <c r="G43" s="110"/>
      <c r="H43" s="110"/>
      <c r="I43" s="110"/>
      <c r="J43" s="110"/>
      <c r="K43" s="110"/>
    </row>
    <row r="44" spans="2:11">
      <c r="B44" s="110"/>
      <c r="C44" s="110"/>
      <c r="D44" s="110"/>
      <c r="E44" s="110"/>
      <c r="F44" s="110"/>
      <c r="G44" s="110"/>
      <c r="H44" s="110"/>
      <c r="I44" s="110"/>
      <c r="J44" s="110"/>
      <c r="K44" s="110"/>
    </row>
    <row r="45" spans="2:11" ht="18">
      <c r="B45" s="217" t="s">
        <v>327</v>
      </c>
      <c r="C45" s="218">
        <v>2013</v>
      </c>
      <c r="D45" s="218">
        <v>2014</v>
      </c>
      <c r="E45" s="218">
        <v>2015</v>
      </c>
      <c r="F45" s="218">
        <v>2016</v>
      </c>
      <c r="G45" s="218">
        <v>2017</v>
      </c>
      <c r="H45" s="218">
        <v>2018</v>
      </c>
      <c r="I45" s="218">
        <v>2019</v>
      </c>
      <c r="J45" s="218">
        <v>2020</v>
      </c>
      <c r="K45" s="218">
        <v>2021</v>
      </c>
    </row>
    <row r="46" spans="2:11" ht="28">
      <c r="B46" s="71" t="s">
        <v>432</v>
      </c>
      <c r="C46" s="293">
        <f>IF('Balance general'!C50&lt;0,'Balance general'!C50,0)</f>
        <v>0</v>
      </c>
      <c r="D46" s="293">
        <f>C49</f>
        <v>57479057.222311921</v>
      </c>
      <c r="E46" s="293">
        <f t="shared" ref="E46:K46" si="13">D49</f>
        <v>134758063.03401589</v>
      </c>
      <c r="F46" s="293">
        <f t="shared" si="13"/>
        <v>213207690.39055949</v>
      </c>
      <c r="G46" s="293">
        <f t="shared" si="13"/>
        <v>293277343.09459162</v>
      </c>
      <c r="H46" s="293">
        <f t="shared" si="13"/>
        <v>374847888.08441758</v>
      </c>
      <c r="I46" s="293">
        <f t="shared" si="13"/>
        <v>457582636.8987931</v>
      </c>
      <c r="J46" s="293">
        <f t="shared" si="13"/>
        <v>542302891.15248644</v>
      </c>
      <c r="K46" s="293">
        <f t="shared" si="13"/>
        <v>628386700.34071374</v>
      </c>
    </row>
    <row r="47" spans="2:11">
      <c r="B47" s="71" t="s">
        <v>433</v>
      </c>
      <c r="C47" s="293">
        <f>IF(C27&lt;0,-C27,0)</f>
        <v>57479057.222311921</v>
      </c>
      <c r="D47" s="293">
        <f t="shared" ref="D47:K47" si="14">IF(D27&lt;0,-D27,0)</f>
        <v>77279005.81170398</v>
      </c>
      <c r="E47" s="293">
        <f t="shared" si="14"/>
        <v>78449627.356543586</v>
      </c>
      <c r="F47" s="293">
        <f t="shared" si="14"/>
        <v>80069652.704032138</v>
      </c>
      <c r="G47" s="293">
        <f t="shared" si="14"/>
        <v>81570544.989825994</v>
      </c>
      <c r="H47" s="293">
        <f t="shared" si="14"/>
        <v>82734748.814375505</v>
      </c>
      <c r="I47" s="293">
        <f t="shared" si="14"/>
        <v>84720254.253693312</v>
      </c>
      <c r="J47" s="293">
        <f t="shared" si="14"/>
        <v>86083809.188227355</v>
      </c>
      <c r="K47" s="293">
        <f t="shared" si="14"/>
        <v>87155485.276364386</v>
      </c>
    </row>
    <row r="48" spans="2:11" ht="28">
      <c r="B48" s="71" t="s">
        <v>434</v>
      </c>
      <c r="C48" s="295">
        <f>IF(C27&gt;0,IF(C27&gt;C46,C46,C27),0)</f>
        <v>0</v>
      </c>
      <c r="D48" s="295">
        <f t="shared" ref="D48:K48" si="15">IF(D27&gt;0,IF(D27&gt;D46,D46,D27),0)</f>
        <v>0</v>
      </c>
      <c r="E48" s="295">
        <f t="shared" si="15"/>
        <v>0</v>
      </c>
      <c r="F48" s="295">
        <f t="shared" si="15"/>
        <v>0</v>
      </c>
      <c r="G48" s="295">
        <f t="shared" si="15"/>
        <v>0</v>
      </c>
      <c r="H48" s="295">
        <f t="shared" si="15"/>
        <v>0</v>
      </c>
      <c r="I48" s="295">
        <f t="shared" si="15"/>
        <v>0</v>
      </c>
      <c r="J48" s="295">
        <f t="shared" si="15"/>
        <v>0</v>
      </c>
      <c r="K48" s="295">
        <f t="shared" si="15"/>
        <v>0</v>
      </c>
    </row>
    <row r="49" spans="2:11" ht="28">
      <c r="B49" s="224" t="s">
        <v>435</v>
      </c>
      <c r="C49" s="294">
        <f>C46+C47-C48</f>
        <v>57479057.222311921</v>
      </c>
      <c r="D49" s="294">
        <f t="shared" ref="D49:K49" si="16">D46+D47-D48</f>
        <v>134758063.03401589</v>
      </c>
      <c r="E49" s="294">
        <f t="shared" si="16"/>
        <v>213207690.39055949</v>
      </c>
      <c r="F49" s="294">
        <f t="shared" si="16"/>
        <v>293277343.09459162</v>
      </c>
      <c r="G49" s="294">
        <f t="shared" si="16"/>
        <v>374847888.08441758</v>
      </c>
      <c r="H49" s="294">
        <f t="shared" si="16"/>
        <v>457582636.8987931</v>
      </c>
      <c r="I49" s="294">
        <f t="shared" si="16"/>
        <v>542302891.15248644</v>
      </c>
      <c r="J49" s="294">
        <f t="shared" si="16"/>
        <v>628386700.34071374</v>
      </c>
      <c r="K49" s="294">
        <f t="shared" si="16"/>
        <v>715542185.61707807</v>
      </c>
    </row>
  </sheetData>
  <mergeCells count="2">
    <mergeCell ref="B4:D4"/>
    <mergeCell ref="B22:D22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workbookViewId="0">
      <selection activeCell="D8" sqref="D8"/>
    </sheetView>
  </sheetViews>
  <sheetFormatPr baseColWidth="10" defaultRowHeight="15" x14ac:dyDescent="0"/>
  <cols>
    <col min="2" max="2" width="39.1640625" customWidth="1"/>
    <col min="3" max="3" width="13" customWidth="1"/>
    <col min="4" max="4" width="12.83203125" customWidth="1"/>
    <col min="5" max="5" width="15.1640625" customWidth="1"/>
    <col min="6" max="6" width="12.1640625" customWidth="1"/>
    <col min="7" max="7" width="11.1640625" customWidth="1"/>
    <col min="8" max="8" width="13" customWidth="1"/>
    <col min="9" max="9" width="11.33203125" customWidth="1"/>
    <col min="10" max="10" width="11.1640625" customWidth="1"/>
    <col min="11" max="11" width="11.83203125" customWidth="1"/>
  </cols>
  <sheetData>
    <row r="2" spans="2:11" ht="18">
      <c r="B2" s="28" t="s">
        <v>525</v>
      </c>
      <c r="C2" s="108"/>
      <c r="D2" s="108"/>
      <c r="E2" s="20"/>
      <c r="F2" s="20"/>
      <c r="G2" s="20"/>
      <c r="H2" s="20"/>
      <c r="I2" s="20"/>
      <c r="J2" s="20"/>
      <c r="K2" s="20"/>
    </row>
    <row r="3" spans="2:11"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2:11" ht="18">
      <c r="B4" s="301" t="s">
        <v>252</v>
      </c>
      <c r="C4" s="301">
        <v>2013</v>
      </c>
      <c r="D4" s="301">
        <v>2014</v>
      </c>
      <c r="E4" s="301">
        <v>2015</v>
      </c>
      <c r="F4" s="301">
        <v>2016</v>
      </c>
      <c r="G4" s="301">
        <v>2017</v>
      </c>
      <c r="H4" s="301">
        <v>2018</v>
      </c>
      <c r="I4" s="301">
        <v>2019</v>
      </c>
      <c r="J4" s="301">
        <v>2020</v>
      </c>
      <c r="K4" s="301">
        <v>2021</v>
      </c>
    </row>
    <row r="5" spans="2:11">
      <c r="B5" s="302" t="s">
        <v>253</v>
      </c>
      <c r="C5" s="303">
        <f>'Plan de Ventas'!C25</f>
        <v>153180622.88135594</v>
      </c>
      <c r="D5" s="303">
        <f>'Plan de Ventas'!D25</f>
        <v>156620864.93984744</v>
      </c>
      <c r="E5" s="303">
        <f>'Plan de Ventas'!E25</f>
        <v>160353599.78476787</v>
      </c>
      <c r="F5" s="303">
        <f>'Plan de Ventas'!F25</f>
        <v>163721231.3061325</v>
      </c>
      <c r="G5" s="303">
        <f>'Plan de Ventas'!G25</f>
        <v>167317359.38633537</v>
      </c>
      <c r="H5" s="303">
        <f>'Plan de Ventas'!H25</f>
        <v>171948525.38193595</v>
      </c>
      <c r="I5" s="303">
        <f>'Plan de Ventas'!I25</f>
        <v>175462919.60440016</v>
      </c>
      <c r="J5" s="303">
        <f>'Plan de Ventas'!J25</f>
        <v>179225243.23890916</v>
      </c>
      <c r="K5" s="303">
        <f>'Plan de Ventas'!K25</f>
        <v>182873896.09118131</v>
      </c>
    </row>
    <row r="6" spans="2:11">
      <c r="B6" s="302" t="s">
        <v>254</v>
      </c>
      <c r="C6" s="303">
        <f>'Cuentas x Cobrar'!C10</f>
        <v>1265271.9449999998</v>
      </c>
      <c r="D6" s="303">
        <f>'Cuentas x Cobrar'!D9</f>
        <v>25873766.88806279</v>
      </c>
      <c r="E6" s="303">
        <f>'Cuentas x Cobrar'!E9</f>
        <v>26490414.684443645</v>
      </c>
      <c r="F6" s="303">
        <f>'Cuentas x Cobrar'!F9</f>
        <v>27046747.411773086</v>
      </c>
      <c r="G6" s="303">
        <f>'Cuentas x Cobrar'!G9</f>
        <v>27640827.7706226</v>
      </c>
      <c r="H6" s="303">
        <f>'Cuentas x Cobrar'!H9</f>
        <v>28405896.393095817</v>
      </c>
      <c r="I6" s="303">
        <f>'Cuentas x Cobrar'!I9</f>
        <v>28986474.318646904</v>
      </c>
      <c r="J6" s="303">
        <f>'Cuentas x Cobrar'!J9</f>
        <v>29608010.183067784</v>
      </c>
      <c r="K6" s="303">
        <f>'Cuentas x Cobrar'!K9</f>
        <v>30210767.634263147</v>
      </c>
    </row>
    <row r="7" spans="2:11">
      <c r="B7" s="304" t="s">
        <v>255</v>
      </c>
      <c r="C7" s="303">
        <f>'Costo de ventas'!D38</f>
        <v>165375836.88916117</v>
      </c>
      <c r="D7" s="303">
        <f>'Costo de ventas'!E38</f>
        <v>166874245.75337958</v>
      </c>
      <c r="E7" s="303">
        <f>'Costo de ventas'!F38</f>
        <v>168821575.05213097</v>
      </c>
      <c r="F7" s="303">
        <f>'Costo de ventas'!G38</f>
        <v>171671060.53304312</v>
      </c>
      <c r="G7" s="303">
        <f>'Costo de ventas'!H38</f>
        <v>174686386.93366829</v>
      </c>
      <c r="H7" s="303">
        <f>'Costo de ventas'!I38</f>
        <v>178212628.93191189</v>
      </c>
      <c r="I7" s="303">
        <f>'Costo de ventas'!J38</f>
        <v>181343354.11142123</v>
      </c>
      <c r="J7" s="303">
        <f>'Costo de ventas'!K38</f>
        <v>184419435.29316992</v>
      </c>
      <c r="K7" s="303">
        <f>'Costo de ventas'!L38</f>
        <v>187226483.37566379</v>
      </c>
    </row>
    <row r="8" spans="2:11">
      <c r="B8" s="305" t="s">
        <v>468</v>
      </c>
      <c r="C8" s="306">
        <f>C5-C6-C7</f>
        <v>-13460485.952805221</v>
      </c>
      <c r="D8" s="306">
        <f t="shared" ref="D8:K8" si="0">D5-D6-D7</f>
        <v>-36127147.701594934</v>
      </c>
      <c r="E8" s="306">
        <f t="shared" si="0"/>
        <v>-34958389.951806754</v>
      </c>
      <c r="F8" s="306">
        <f t="shared" si="0"/>
        <v>-34996576.638683707</v>
      </c>
      <c r="G8" s="306">
        <f t="shared" si="0"/>
        <v>-35009855.317955524</v>
      </c>
      <c r="H8" s="306">
        <f t="shared" si="0"/>
        <v>-34669999.943071753</v>
      </c>
      <c r="I8" s="306">
        <f t="shared" si="0"/>
        <v>-34866908.825667977</v>
      </c>
      <c r="J8" s="306">
        <f t="shared" si="0"/>
        <v>-34802202.237328529</v>
      </c>
      <c r="K8" s="306">
        <f t="shared" si="0"/>
        <v>-34563354.918745637</v>
      </c>
    </row>
    <row r="9" spans="2:11">
      <c r="B9" s="304" t="s">
        <v>256</v>
      </c>
      <c r="C9" s="303">
        <f>Gastos!C18</f>
        <v>51097760.371111102</v>
      </c>
      <c r="D9" s="303">
        <f>Gastos!D18</f>
        <v>51656344.580072224</v>
      </c>
      <c r="E9" s="303">
        <f>Gastos!E18</f>
        <v>52167644.430585578</v>
      </c>
      <c r="F9" s="303">
        <f>Gastos!F18</f>
        <v>53008011.015096411</v>
      </c>
      <c r="G9" s="303">
        <f>Gastos!G18</f>
        <v>53728559.103799902</v>
      </c>
      <c r="H9" s="303">
        <f>Gastos!H18</f>
        <v>54385435.418976769</v>
      </c>
      <c r="I9" s="303">
        <f>Gastos!I18</f>
        <v>55494121.276720099</v>
      </c>
      <c r="J9" s="303">
        <f>Gastos!J18</f>
        <v>56127756.886328228</v>
      </c>
      <c r="K9" s="303">
        <f>Gastos!K18</f>
        <v>56594420.32494013</v>
      </c>
    </row>
    <row r="10" spans="2:11">
      <c r="B10" s="304" t="s">
        <v>257</v>
      </c>
      <c r="C10" s="303">
        <f>Gastos!C10</f>
        <v>3064173.937627119</v>
      </c>
      <c r="D10" s="303">
        <f>Gastos!D10</f>
        <v>3132985.1438669488</v>
      </c>
      <c r="E10" s="303">
        <f>Gastos!E10</f>
        <v>3207644.8606001073</v>
      </c>
      <c r="F10" s="303">
        <f>Gastos!F10</f>
        <v>3275003.7627282729</v>
      </c>
      <c r="G10" s="303">
        <f>Gastos!G10</f>
        <v>3346932.625098668</v>
      </c>
      <c r="H10" s="303">
        <f>Gastos!H10</f>
        <v>3439563.2430991456</v>
      </c>
      <c r="I10" s="303">
        <f>Gastos!I10</f>
        <v>3509857.2548981751</v>
      </c>
      <c r="J10" s="303">
        <f>Gastos!J10</f>
        <v>3585110.5095519023</v>
      </c>
      <c r="K10" s="303">
        <f>Gastos!K10</f>
        <v>3658089.7873311592</v>
      </c>
    </row>
    <row r="11" spans="2:11">
      <c r="B11" s="304" t="s">
        <v>258</v>
      </c>
      <c r="C11" s="257">
        <f>'Flujo de caja'!C100+'Flujo de caja'!C106</f>
        <v>0</v>
      </c>
      <c r="D11" s="253">
        <f>'Flujo de caja'!D100+'Flujo de caja'!D106</f>
        <v>0</v>
      </c>
      <c r="E11" s="253">
        <f>'Flujo de caja'!E100+'Flujo de caja'!E106</f>
        <v>1960000</v>
      </c>
      <c r="F11" s="253">
        <f>'Flujo de caja'!F100+'Flujo de caja'!F106</f>
        <v>2920000</v>
      </c>
      <c r="G11" s="253">
        <f>'Flujo de caja'!G100+'Flujo de caja'!G106</f>
        <v>3880000</v>
      </c>
      <c r="H11" s="253">
        <f>'Flujo de caja'!H100+'Flujo de caja'!H106</f>
        <v>4840000</v>
      </c>
      <c r="I11" s="253">
        <f>'Flujo de caja'!I100+'Flujo de caja'!I106</f>
        <v>5800000</v>
      </c>
      <c r="J11" s="253">
        <f>'Flujo de caja'!J100+'Flujo de caja'!J106</f>
        <v>6760000</v>
      </c>
      <c r="K11" s="253">
        <f>'Flujo de caja'!K100+'Flujo de caja'!K106</f>
        <v>7720000</v>
      </c>
    </row>
    <row r="12" spans="2:11">
      <c r="B12" s="305" t="s">
        <v>469</v>
      </c>
      <c r="C12" s="306">
        <f>C8-C9-C10-C11</f>
        <v>-67622420.261543438</v>
      </c>
      <c r="D12" s="306">
        <f t="shared" ref="D12:K12" si="1">D8-D9-D10-D11</f>
        <v>-90916477.425534099</v>
      </c>
      <c r="E12" s="306">
        <f t="shared" si="1"/>
        <v>-92293679.242992446</v>
      </c>
      <c r="F12" s="306">
        <f t="shared" si="1"/>
        <v>-94199591.416508391</v>
      </c>
      <c r="G12" s="306">
        <f t="shared" si="1"/>
        <v>-95965347.046854109</v>
      </c>
      <c r="H12" s="306">
        <f t="shared" si="1"/>
        <v>-97334998.60514766</v>
      </c>
      <c r="I12" s="306">
        <f t="shared" si="1"/>
        <v>-99670887.35728626</v>
      </c>
      <c r="J12" s="306">
        <f t="shared" si="1"/>
        <v>-101275069.63320865</v>
      </c>
      <c r="K12" s="306">
        <f t="shared" si="1"/>
        <v>-102535865.03101693</v>
      </c>
    </row>
    <row r="13" spans="2:11">
      <c r="B13" s="304" t="s">
        <v>475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</row>
    <row r="14" spans="2:11" ht="28">
      <c r="B14" s="305" t="s">
        <v>470</v>
      </c>
      <c r="C14" s="306">
        <f>C12+C13</f>
        <v>-67622420.261543438</v>
      </c>
      <c r="D14" s="306">
        <f t="shared" ref="D14:K14" si="2">D12+D13</f>
        <v>-90916477.425534099</v>
      </c>
      <c r="E14" s="306">
        <f t="shared" si="2"/>
        <v>-92293679.242992446</v>
      </c>
      <c r="F14" s="306">
        <f t="shared" si="2"/>
        <v>-94199591.416508391</v>
      </c>
      <c r="G14" s="306">
        <f t="shared" si="2"/>
        <v>-95965347.046854109</v>
      </c>
      <c r="H14" s="306">
        <f t="shared" si="2"/>
        <v>-97334998.60514766</v>
      </c>
      <c r="I14" s="306">
        <f t="shared" si="2"/>
        <v>-99670887.35728626</v>
      </c>
      <c r="J14" s="306">
        <f t="shared" si="2"/>
        <v>-101275069.63320865</v>
      </c>
      <c r="K14" s="306">
        <f t="shared" si="2"/>
        <v>-102535865.03101693</v>
      </c>
    </row>
    <row r="15" spans="2:11">
      <c r="B15" s="304" t="s">
        <v>410</v>
      </c>
      <c r="C15" s="307">
        <f>C14*Parametros!$C$199</f>
        <v>-4057345.2156926063</v>
      </c>
      <c r="D15" s="307">
        <f>D14*Parametros!$C$199</f>
        <v>-5454988.6455320455</v>
      </c>
      <c r="E15" s="307">
        <f>E14*Parametros!$C$199</f>
        <v>-5537620.7545795469</v>
      </c>
      <c r="F15" s="307">
        <f>F14*Parametros!$C$199</f>
        <v>-5651975.4849905036</v>
      </c>
      <c r="G15" s="307">
        <f>G14*Parametros!$C$199</f>
        <v>-5757920.8228112459</v>
      </c>
      <c r="H15" s="307">
        <f>H14*Parametros!$C$199</f>
        <v>-5840099.9163088594</v>
      </c>
      <c r="I15" s="307">
        <f>I14*Parametros!$C$199</f>
        <v>-5980253.2414371753</v>
      </c>
      <c r="J15" s="307">
        <f>J14*Parametros!$C$199</f>
        <v>-6076504.177992519</v>
      </c>
      <c r="K15" s="307">
        <f>K14*Parametros!$C$199</f>
        <v>-6152151.9018610157</v>
      </c>
    </row>
    <row r="16" spans="2:11">
      <c r="B16" s="304" t="s">
        <v>411</v>
      </c>
      <c r="C16" s="307">
        <f>C14*Parametros!$C$200</f>
        <v>-2704896.8104617377</v>
      </c>
      <c r="D16" s="307">
        <f>D14*Parametros!$C$200</f>
        <v>-3636659.0970213641</v>
      </c>
      <c r="E16" s="307">
        <f>E14*Parametros!$C$200</f>
        <v>-3691747.1697196979</v>
      </c>
      <c r="F16" s="307">
        <f>F14*Parametros!$C$200</f>
        <v>-3767983.6566603356</v>
      </c>
      <c r="G16" s="307">
        <f>G14*Parametros!$C$200</f>
        <v>-3838613.8818741646</v>
      </c>
      <c r="H16" s="307">
        <f>H14*Parametros!$C$200</f>
        <v>-3893399.9442059062</v>
      </c>
      <c r="I16" s="307">
        <f>I14*Parametros!$C$200</f>
        <v>-3986835.4942914504</v>
      </c>
      <c r="J16" s="307">
        <f>J14*Parametros!$C$200</f>
        <v>-4051002.7853283458</v>
      </c>
      <c r="K16" s="307">
        <f>K14*Parametros!$C$200</f>
        <v>-4101434.6012406773</v>
      </c>
    </row>
    <row r="17" spans="2:11">
      <c r="B17" s="304" t="s">
        <v>415</v>
      </c>
      <c r="C17" s="307">
        <f>C14*Parametros!$C$198</f>
        <v>-3381121.013077172</v>
      </c>
      <c r="D17" s="307">
        <f>D14*Parametros!$C$198</f>
        <v>-4545823.8712767055</v>
      </c>
      <c r="E17" s="307">
        <f>E14*Parametros!$C$198</f>
        <v>-4614683.9621496229</v>
      </c>
      <c r="F17" s="307">
        <f>F14*Parametros!$C$198</f>
        <v>-4709979.5708254194</v>
      </c>
      <c r="G17" s="307">
        <f>G14*Parametros!$C$198</f>
        <v>-4798267.3523427052</v>
      </c>
      <c r="H17" s="307">
        <f>H14*Parametros!$C$198</f>
        <v>-4866749.9302573828</v>
      </c>
      <c r="I17" s="307">
        <f>I14*Parametros!$C$198</f>
        <v>-4983544.3678643135</v>
      </c>
      <c r="J17" s="307">
        <f>J14*Parametros!$C$198</f>
        <v>-5063753.4816604331</v>
      </c>
      <c r="K17" s="307">
        <f>K14*Parametros!$C$198</f>
        <v>-5126793.2515508467</v>
      </c>
    </row>
    <row r="18" spans="2:11">
      <c r="B18" s="308" t="s">
        <v>471</v>
      </c>
      <c r="C18" s="309">
        <f>C14-C15-C16-C17</f>
        <v>-57479057.222311921</v>
      </c>
      <c r="D18" s="309">
        <f t="shared" ref="D18:K18" si="3">D14-D15-D16-D17</f>
        <v>-77279005.81170398</v>
      </c>
      <c r="E18" s="309">
        <f t="shared" si="3"/>
        <v>-78449627.356543586</v>
      </c>
      <c r="F18" s="309">
        <f t="shared" si="3"/>
        <v>-80069652.704032138</v>
      </c>
      <c r="G18" s="309">
        <f t="shared" si="3"/>
        <v>-81570544.989825994</v>
      </c>
      <c r="H18" s="309">
        <f t="shared" si="3"/>
        <v>-82734748.814375505</v>
      </c>
      <c r="I18" s="309">
        <f t="shared" si="3"/>
        <v>-84720254.253693312</v>
      </c>
      <c r="J18" s="309">
        <f t="shared" si="3"/>
        <v>-86083809.188227355</v>
      </c>
      <c r="K18" s="309">
        <f t="shared" si="3"/>
        <v>-87155485.276364386</v>
      </c>
    </row>
    <row r="19" spans="2:11">
      <c r="B19" s="304" t="s">
        <v>87</v>
      </c>
      <c r="C19" s="307">
        <f>'IGV e IR'!C30</f>
        <v>0</v>
      </c>
      <c r="D19" s="307">
        <f>'IGV e IR'!D30</f>
        <v>0</v>
      </c>
      <c r="E19" s="307">
        <f>'IGV e IR'!E30</f>
        <v>0</v>
      </c>
      <c r="F19" s="307">
        <f>'IGV e IR'!F30</f>
        <v>0</v>
      </c>
      <c r="G19" s="307">
        <f>'IGV e IR'!G30</f>
        <v>0</v>
      </c>
      <c r="H19" s="307">
        <f>'IGV e IR'!H30</f>
        <v>0</v>
      </c>
      <c r="I19" s="307">
        <f>'IGV e IR'!I30</f>
        <v>0</v>
      </c>
      <c r="J19" s="307">
        <f>'IGV e IR'!J30</f>
        <v>0</v>
      </c>
      <c r="K19" s="307">
        <f>'IGV e IR'!K30</f>
        <v>0</v>
      </c>
    </row>
    <row r="20" spans="2:11">
      <c r="B20" s="305" t="s">
        <v>472</v>
      </c>
      <c r="C20" s="310">
        <f>C18-C19</f>
        <v>-57479057.222311921</v>
      </c>
      <c r="D20" s="310">
        <f t="shared" ref="D20:K20" si="4">D18-D19</f>
        <v>-77279005.81170398</v>
      </c>
      <c r="E20" s="310">
        <f t="shared" si="4"/>
        <v>-78449627.356543586</v>
      </c>
      <c r="F20" s="310">
        <f t="shared" si="4"/>
        <v>-80069652.704032138</v>
      </c>
      <c r="G20" s="310">
        <f t="shared" si="4"/>
        <v>-81570544.989825994</v>
      </c>
      <c r="H20" s="310">
        <f t="shared" si="4"/>
        <v>-82734748.814375505</v>
      </c>
      <c r="I20" s="310">
        <f t="shared" si="4"/>
        <v>-84720254.253693312</v>
      </c>
      <c r="J20" s="310">
        <f t="shared" si="4"/>
        <v>-86083809.188227355</v>
      </c>
      <c r="K20" s="310">
        <f t="shared" si="4"/>
        <v>-87155485.276364386</v>
      </c>
    </row>
    <row r="21" spans="2:11">
      <c r="B21" s="304" t="s">
        <v>259</v>
      </c>
      <c r="C21" s="311">
        <f>C33</f>
        <v>0</v>
      </c>
      <c r="D21" s="311">
        <f t="shared" ref="D21:K21" si="5">D33</f>
        <v>0</v>
      </c>
      <c r="E21" s="311">
        <f t="shared" si="5"/>
        <v>0</v>
      </c>
      <c r="F21" s="311">
        <f t="shared" si="5"/>
        <v>0</v>
      </c>
      <c r="G21" s="311">
        <f t="shared" si="5"/>
        <v>0</v>
      </c>
      <c r="H21" s="311">
        <f t="shared" si="5"/>
        <v>0</v>
      </c>
      <c r="I21" s="311">
        <f t="shared" si="5"/>
        <v>0</v>
      </c>
      <c r="J21" s="311">
        <f t="shared" si="5"/>
        <v>0</v>
      </c>
      <c r="K21" s="311">
        <f t="shared" si="5"/>
        <v>0</v>
      </c>
    </row>
    <row r="22" spans="2:11">
      <c r="B22" s="305" t="s">
        <v>473</v>
      </c>
      <c r="C22" s="306">
        <f>C20-C21</f>
        <v>-57479057.222311921</v>
      </c>
      <c r="D22" s="306">
        <f t="shared" ref="D22:K22" si="6">D20-D21</f>
        <v>-77279005.81170398</v>
      </c>
      <c r="E22" s="306">
        <f t="shared" si="6"/>
        <v>-78449627.356543586</v>
      </c>
      <c r="F22" s="306">
        <f t="shared" si="6"/>
        <v>-80069652.704032138</v>
      </c>
      <c r="G22" s="306">
        <f t="shared" si="6"/>
        <v>-81570544.989825994</v>
      </c>
      <c r="H22" s="306">
        <f t="shared" si="6"/>
        <v>-82734748.814375505</v>
      </c>
      <c r="I22" s="306">
        <f t="shared" si="6"/>
        <v>-84720254.253693312</v>
      </c>
      <c r="J22" s="306">
        <f t="shared" si="6"/>
        <v>-86083809.188227355</v>
      </c>
      <c r="K22" s="306">
        <f t="shared" si="6"/>
        <v>-87155485.276364386</v>
      </c>
    </row>
    <row r="23" spans="2:11">
      <c r="B23" s="304" t="s">
        <v>248</v>
      </c>
      <c r="C23" s="303">
        <f>IF(C$22&gt;0,C$22*Parametros!$C$201,0)</f>
        <v>0</v>
      </c>
      <c r="D23" s="303">
        <f>IF(D$22&gt;0,D$22*Parametros!$C$201,0)</f>
        <v>0</v>
      </c>
      <c r="E23" s="303">
        <f>IF(E$22&gt;0,E$22*Parametros!$C$201,0)</f>
        <v>0</v>
      </c>
      <c r="F23" s="303">
        <f>IF(F$22&gt;0,F$22*Parametros!$C$201,0)</f>
        <v>0</v>
      </c>
      <c r="G23" s="303">
        <f>IF(G$22&gt;0,G$22*Parametros!$C$201,0)</f>
        <v>0</v>
      </c>
      <c r="H23" s="303">
        <f>IF(H$22&gt;0,H$22*Parametros!$C$201,0)</f>
        <v>0</v>
      </c>
      <c r="I23" s="303">
        <f>IF(I$22&gt;0,I$22*Parametros!$C$201,0)</f>
        <v>0</v>
      </c>
      <c r="J23" s="303">
        <f>IF(J$22&gt;0,J$22*Parametros!$C$201,0)</f>
        <v>0</v>
      </c>
      <c r="K23" s="303">
        <f>IF(K$22&gt;0,K$22*Parametros!$C$201,0)</f>
        <v>0</v>
      </c>
    </row>
    <row r="24" spans="2:11">
      <c r="B24" s="304" t="s">
        <v>260</v>
      </c>
      <c r="C24" s="303">
        <v>0</v>
      </c>
      <c r="D24" s="303">
        <f>IF(D$22&gt;0,MIN(D22*Parametros!$C$202,D22-D23),0)</f>
        <v>0</v>
      </c>
      <c r="E24" s="303">
        <f>IF(E$22&gt;0,MIN(E22*Parametros!$C$202,E22-E23),0)</f>
        <v>0</v>
      </c>
      <c r="F24" s="303">
        <f>IF(F$22&gt;0,MIN(F22*Parametros!$C$202,F22-F23),0)</f>
        <v>0</v>
      </c>
      <c r="G24" s="303">
        <f>IF(G$22&gt;0,MIN(G22*Parametros!$C$202,G22-G23),0)</f>
        <v>0</v>
      </c>
      <c r="H24" s="303">
        <f>IF(H$22&gt;0,MIN(H22*Parametros!$C$202,H22-H23),0)</f>
        <v>0</v>
      </c>
      <c r="I24" s="303">
        <f>IF(I$22&gt;0,MIN(I22*Parametros!$C$202,I22-I23),0)</f>
        <v>0</v>
      </c>
      <c r="J24" s="303">
        <f>IF(J$22&gt;0,MIN(J22*Parametros!$C$202,J22-J23),0)</f>
        <v>0</v>
      </c>
      <c r="K24" s="303">
        <f>IF(K$22&gt;0,MIN(K22*Parametros!$C$202,K22-K23),0)</f>
        <v>0</v>
      </c>
    </row>
    <row r="25" spans="2:11">
      <c r="B25" s="305" t="s">
        <v>474</v>
      </c>
      <c r="C25" s="306">
        <f t="shared" ref="C25:K25" si="7">C22-C23-C24</f>
        <v>-57479057.222311921</v>
      </c>
      <c r="D25" s="306">
        <f t="shared" si="7"/>
        <v>-77279005.81170398</v>
      </c>
      <c r="E25" s="306">
        <f t="shared" si="7"/>
        <v>-78449627.356543586</v>
      </c>
      <c r="F25" s="306">
        <f t="shared" si="7"/>
        <v>-80069652.704032138</v>
      </c>
      <c r="G25" s="306">
        <f t="shared" si="7"/>
        <v>-81570544.989825994</v>
      </c>
      <c r="H25" s="306">
        <f t="shared" si="7"/>
        <v>-82734748.814375505</v>
      </c>
      <c r="I25" s="306">
        <f t="shared" si="7"/>
        <v>-84720254.253693312</v>
      </c>
      <c r="J25" s="306">
        <f t="shared" si="7"/>
        <v>-86083809.188227355</v>
      </c>
      <c r="K25" s="306">
        <f t="shared" si="7"/>
        <v>-87155485.276364386</v>
      </c>
    </row>
    <row r="26" spans="2:11">
      <c r="B26" s="304" t="s">
        <v>261</v>
      </c>
      <c r="C26" s="273">
        <f>C34</f>
        <v>5390000</v>
      </c>
      <c r="D26" s="273">
        <f t="shared" ref="D26:K26" si="8">D34</f>
        <v>0</v>
      </c>
      <c r="E26" s="273">
        <f t="shared" si="8"/>
        <v>0</v>
      </c>
      <c r="F26" s="273">
        <f t="shared" si="8"/>
        <v>0</v>
      </c>
      <c r="G26" s="273">
        <f t="shared" si="8"/>
        <v>0</v>
      </c>
      <c r="H26" s="273">
        <f t="shared" si="8"/>
        <v>0</v>
      </c>
      <c r="I26" s="273">
        <f t="shared" si="8"/>
        <v>0</v>
      </c>
      <c r="J26" s="273">
        <f t="shared" si="8"/>
        <v>0</v>
      </c>
      <c r="K26" s="273">
        <f t="shared" si="8"/>
        <v>0</v>
      </c>
    </row>
    <row r="27" spans="2:11" ht="28">
      <c r="B27" s="305" t="s">
        <v>262</v>
      </c>
      <c r="C27" s="306">
        <f>C25+C26</f>
        <v>-52089057.222311921</v>
      </c>
      <c r="D27" s="306">
        <f t="shared" ref="D27:K27" si="9">D25+D26</f>
        <v>-77279005.81170398</v>
      </c>
      <c r="E27" s="306">
        <f t="shared" si="9"/>
        <v>-78449627.356543586</v>
      </c>
      <c r="F27" s="306">
        <f t="shared" si="9"/>
        <v>-80069652.704032138</v>
      </c>
      <c r="G27" s="306">
        <f t="shared" si="9"/>
        <v>-81570544.989825994</v>
      </c>
      <c r="H27" s="306">
        <f t="shared" si="9"/>
        <v>-82734748.814375505</v>
      </c>
      <c r="I27" s="306">
        <f t="shared" si="9"/>
        <v>-84720254.253693312</v>
      </c>
      <c r="J27" s="306">
        <f t="shared" si="9"/>
        <v>-86083809.188227355</v>
      </c>
      <c r="K27" s="306">
        <f t="shared" si="9"/>
        <v>-87155485.276364386</v>
      </c>
    </row>
    <row r="28" spans="2:11">
      <c r="B28" s="305" t="s">
        <v>263</v>
      </c>
      <c r="C28" s="306">
        <f>C22</f>
        <v>-57479057.222311921</v>
      </c>
      <c r="D28" s="306">
        <f>C28+D27</f>
        <v>-134758063.03401589</v>
      </c>
      <c r="E28" s="306">
        <f>D28+E27</f>
        <v>-213207690.39055949</v>
      </c>
      <c r="F28" s="306">
        <f t="shared" ref="F28:K28" si="10">E28+F27</f>
        <v>-293277343.09459162</v>
      </c>
      <c r="G28" s="306">
        <f t="shared" si="10"/>
        <v>-374847888.08441758</v>
      </c>
      <c r="H28" s="306">
        <f t="shared" si="10"/>
        <v>-457582636.8987931</v>
      </c>
      <c r="I28" s="306">
        <f t="shared" si="10"/>
        <v>-542302891.15248644</v>
      </c>
      <c r="J28" s="306">
        <f t="shared" si="10"/>
        <v>-628386700.34071374</v>
      </c>
      <c r="K28" s="306">
        <f t="shared" si="10"/>
        <v>-715542185.61707807</v>
      </c>
    </row>
    <row r="29" spans="2:11"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2:11"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2:11">
      <c r="B31" s="305" t="s">
        <v>264</v>
      </c>
      <c r="C31" s="312">
        <f>'Balance general'!C49</f>
        <v>5390000</v>
      </c>
      <c r="D31" s="313">
        <f>C31+C33-C34</f>
        <v>0</v>
      </c>
      <c r="E31" s="313">
        <f t="shared" ref="E31:K31" si="11">D31+D33-D34</f>
        <v>0</v>
      </c>
      <c r="F31" s="313">
        <f t="shared" si="11"/>
        <v>0</v>
      </c>
      <c r="G31" s="313">
        <f t="shared" si="11"/>
        <v>0</v>
      </c>
      <c r="H31" s="313">
        <f t="shared" si="11"/>
        <v>0</v>
      </c>
      <c r="I31" s="313">
        <f t="shared" si="11"/>
        <v>0</v>
      </c>
      <c r="J31" s="313">
        <f t="shared" si="11"/>
        <v>0</v>
      </c>
      <c r="K31" s="313">
        <f t="shared" si="11"/>
        <v>0</v>
      </c>
    </row>
    <row r="32" spans="2:11">
      <c r="B32" s="305" t="s">
        <v>265</v>
      </c>
      <c r="C32" s="312">
        <f>IF(AND(C20&gt;0,C31&lt;Parametros!$C$203*'Balance general'!C48),EGP!C20*Parametros!$C$197,0)</f>
        <v>0</v>
      </c>
      <c r="D32" s="312">
        <f>IF(AND(D20&gt;0,D31&lt;Parametros!$C$203*'Balance general'!D48),EGP!D20*Parametros!$C$197,0)</f>
        <v>0</v>
      </c>
      <c r="E32" s="312">
        <f>IF(AND(E20&gt;0,E31&lt;Parametros!$C$203*'Balance general'!E48),EGP!E20*Parametros!$C$197,0)</f>
        <v>0</v>
      </c>
      <c r="F32" s="312">
        <f>IF(AND(F20&gt;0,F31&lt;Parametros!$C$203*'Balance general'!F48),EGP!F20*Parametros!$C$197,0)</f>
        <v>0</v>
      </c>
      <c r="G32" s="312">
        <f>IF(AND(G20&gt;0,G31&lt;Parametros!$C$203*'Balance general'!G48),EGP!G20*Parametros!$C$197,0)</f>
        <v>0</v>
      </c>
      <c r="H32" s="312">
        <f>IF(AND(H20&gt;0,H31&lt;Parametros!$C$203*'Balance general'!H48),EGP!H20*Parametros!$C$197,0)</f>
        <v>0</v>
      </c>
      <c r="I32" s="312">
        <f>IF(AND(I20&gt;0,I31&lt;Parametros!$C$203*'Balance general'!I48),EGP!I20*Parametros!$C$197,0)</f>
        <v>0</v>
      </c>
      <c r="J32" s="312">
        <f>IF(AND(J20&gt;0,J31&lt;Parametros!$C$203*'Balance general'!J48),EGP!J20*Parametros!$C$197,0)</f>
        <v>0</v>
      </c>
      <c r="K32" s="312">
        <f>IF(AND(K20&gt;0,K31&lt;Parametros!$C$203*'Balance general'!K48),EGP!K20*Parametros!$C$197,0)</f>
        <v>0</v>
      </c>
    </row>
    <row r="33" spans="2:11">
      <c r="B33" s="305" t="s">
        <v>266</v>
      </c>
      <c r="C33" s="312">
        <f>IF(SUM(C31:C32)&gt;Parametros!$C$203*'Balance general'!C48,MAX(Parametros!$C$203*'Balance general'!C48-EGP!C31,0),EGP!C32)</f>
        <v>0</v>
      </c>
      <c r="D33" s="312">
        <f>IF(SUM(D31:D32)&gt;Parametros!$C$203*'Balance general'!D48,MAX(Parametros!$C$203*'Balance general'!D48-EGP!D31,0),EGP!D32)</f>
        <v>0</v>
      </c>
      <c r="E33" s="312">
        <f>IF(SUM(E31:E32)&gt;Parametros!$C$203*'Balance general'!E48,MAX(Parametros!$C$203*'Balance general'!E48-EGP!E31,0),EGP!E32)</f>
        <v>0</v>
      </c>
      <c r="F33" s="312">
        <f>IF(SUM(F31:F32)&gt;Parametros!$C$203*'Balance general'!F48,MAX(Parametros!$C$203*'Balance general'!F48-EGP!F31,0),EGP!F32)</f>
        <v>0</v>
      </c>
      <c r="G33" s="312">
        <f>IF(SUM(G31:G32)&gt;Parametros!$C$203*'Balance general'!G48,MAX(Parametros!$C$203*'Balance general'!G48-EGP!G31,0),EGP!G32)</f>
        <v>0</v>
      </c>
      <c r="H33" s="312">
        <f>IF(SUM(H31:H32)&gt;Parametros!$C$203*'Balance general'!H48,MAX(Parametros!$C$203*'Balance general'!H48-EGP!H31,0),EGP!H32)</f>
        <v>0</v>
      </c>
      <c r="I33" s="312">
        <f>IF(SUM(I31:I32)&gt;Parametros!$C$203*'Balance general'!I48,MAX(Parametros!$C$203*'Balance general'!I48-EGP!I31,0),EGP!I32)</f>
        <v>0</v>
      </c>
      <c r="J33" s="312">
        <f>IF(SUM(J31:J32)&gt;Parametros!$C$203*'Balance general'!J48,MAX(Parametros!$C$203*'Balance general'!J48-EGP!J31,0),EGP!J32)</f>
        <v>0</v>
      </c>
      <c r="K33" s="312">
        <f>IF(SUM(K31:K32)&gt;Parametros!$C$203*'Balance general'!K48,MAX(Parametros!$C$203*'Balance general'!K48-EGP!K31,0),EGP!K32)</f>
        <v>0</v>
      </c>
    </row>
    <row r="34" spans="2:11">
      <c r="B34" s="305" t="s">
        <v>267</v>
      </c>
      <c r="C34" s="312">
        <f>IF(C25&lt;0,MIN(-C25,C31),0)</f>
        <v>5390000</v>
      </c>
      <c r="D34" s="312">
        <f t="shared" ref="D34:K34" si="12">IF(D25&lt;0,MIN(-D25,D31),0)</f>
        <v>0</v>
      </c>
      <c r="E34" s="312">
        <f t="shared" si="12"/>
        <v>0</v>
      </c>
      <c r="F34" s="312">
        <f t="shared" si="12"/>
        <v>0</v>
      </c>
      <c r="G34" s="312">
        <f t="shared" si="12"/>
        <v>0</v>
      </c>
      <c r="H34" s="312">
        <f t="shared" si="12"/>
        <v>0</v>
      </c>
      <c r="I34" s="312">
        <f t="shared" si="12"/>
        <v>0</v>
      </c>
      <c r="J34" s="312">
        <f t="shared" si="12"/>
        <v>0</v>
      </c>
      <c r="K34" s="312">
        <f t="shared" si="12"/>
        <v>0</v>
      </c>
    </row>
    <row r="35" spans="2:11">
      <c r="B35" s="109"/>
      <c r="D35" s="110"/>
      <c r="E35" s="110"/>
      <c r="F35" s="110"/>
      <c r="G35" s="110"/>
      <c r="H35" s="110"/>
      <c r="I35" s="110"/>
      <c r="J35" s="110"/>
      <c r="K35" s="110"/>
    </row>
    <row r="36" spans="2:11">
      <c r="B36" s="109"/>
      <c r="D36" s="110"/>
      <c r="E36" s="110"/>
      <c r="F36" s="110"/>
      <c r="G36" s="110"/>
      <c r="H36" s="110"/>
      <c r="I36" s="110"/>
      <c r="J36" s="110"/>
      <c r="K36" s="110"/>
    </row>
    <row r="37" spans="2:11">
      <c r="B37" s="305" t="s">
        <v>268</v>
      </c>
      <c r="C37" s="311">
        <f>'Balance general'!C48</f>
        <v>27000000</v>
      </c>
      <c r="D37" s="311">
        <f>C38</f>
        <v>27000000</v>
      </c>
      <c r="E37" s="311">
        <f t="shared" ref="E37:K37" si="13">D38</f>
        <v>27000000</v>
      </c>
      <c r="F37" s="311">
        <f t="shared" si="13"/>
        <v>27000000</v>
      </c>
      <c r="G37" s="311">
        <f t="shared" si="13"/>
        <v>27000000</v>
      </c>
      <c r="H37" s="311">
        <f t="shared" si="13"/>
        <v>27000000</v>
      </c>
      <c r="I37" s="311">
        <f t="shared" si="13"/>
        <v>27000000</v>
      </c>
      <c r="J37" s="311">
        <f t="shared" si="13"/>
        <v>27000000</v>
      </c>
      <c r="K37" s="311">
        <f t="shared" si="13"/>
        <v>27000000</v>
      </c>
    </row>
    <row r="38" spans="2:11">
      <c r="B38" s="305" t="s">
        <v>269</v>
      </c>
      <c r="C38" s="311">
        <f>C24+C37</f>
        <v>27000000</v>
      </c>
      <c r="D38" s="311">
        <f t="shared" ref="D38:K38" si="14">D24+D37</f>
        <v>27000000</v>
      </c>
      <c r="E38" s="311">
        <f t="shared" si="14"/>
        <v>27000000</v>
      </c>
      <c r="F38" s="311">
        <f t="shared" si="14"/>
        <v>27000000</v>
      </c>
      <c r="G38" s="311">
        <f t="shared" si="14"/>
        <v>27000000</v>
      </c>
      <c r="H38" s="311">
        <f t="shared" si="14"/>
        <v>27000000</v>
      </c>
      <c r="I38" s="311">
        <f t="shared" si="14"/>
        <v>27000000</v>
      </c>
      <c r="J38" s="311">
        <f t="shared" si="14"/>
        <v>27000000</v>
      </c>
      <c r="K38" s="311">
        <f t="shared" si="14"/>
        <v>27000000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D28" sqref="D28"/>
    </sheetView>
  </sheetViews>
  <sheetFormatPr baseColWidth="10" defaultRowHeight="15" x14ac:dyDescent="0"/>
  <cols>
    <col min="2" max="2" width="44.1640625" customWidth="1"/>
    <col min="3" max="3" width="15.5" customWidth="1"/>
    <col min="4" max="11" width="14.5" customWidth="1"/>
  </cols>
  <sheetData>
    <row r="2" spans="2:11" ht="20">
      <c r="B2" s="28" t="s">
        <v>527</v>
      </c>
      <c r="C2" s="31"/>
      <c r="D2" s="31"/>
      <c r="E2" s="20"/>
      <c r="F2" s="20"/>
      <c r="G2" s="20"/>
      <c r="H2" s="20"/>
      <c r="I2" s="20"/>
      <c r="J2" s="20"/>
      <c r="K2" s="20"/>
    </row>
    <row r="3" spans="2:11" ht="20">
      <c r="B3" s="33"/>
      <c r="C3" s="33"/>
      <c r="D3" s="33"/>
      <c r="E3" s="20"/>
      <c r="F3" s="20"/>
      <c r="G3" s="20"/>
      <c r="H3" s="20"/>
      <c r="I3" s="20"/>
      <c r="J3" s="20"/>
      <c r="K3" s="20"/>
    </row>
    <row r="4" spans="2:11" ht="18" customHeight="1">
      <c r="B4" s="314" t="s">
        <v>212</v>
      </c>
      <c r="C4" s="315"/>
      <c r="D4" s="315"/>
      <c r="E4" s="315"/>
      <c r="F4" s="315"/>
      <c r="G4" s="315"/>
      <c r="H4" s="315"/>
      <c r="I4" s="315"/>
      <c r="J4" s="315"/>
      <c r="K4" s="315"/>
    </row>
    <row r="5" spans="2:11">
      <c r="B5" s="88"/>
      <c r="C5" s="88"/>
      <c r="D5" s="88"/>
      <c r="E5" s="88"/>
      <c r="F5" s="88"/>
      <c r="G5" s="88"/>
      <c r="H5" s="88"/>
      <c r="I5" s="88"/>
      <c r="J5" s="88"/>
      <c r="K5" s="88"/>
    </row>
    <row r="6" spans="2:11" ht="18">
      <c r="B6" s="88"/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03" t="s">
        <v>213</v>
      </c>
      <c r="C7" s="89">
        <f>'Balance general'!C50</f>
        <v>30000000</v>
      </c>
      <c r="D7" s="89">
        <f>'Balance general'!D50</f>
        <v>-57479057.222311921</v>
      </c>
      <c r="E7" s="89">
        <f>'Balance general'!E50</f>
        <v>-134758063.03401589</v>
      </c>
      <c r="F7" s="89">
        <f>'Balance general'!F50</f>
        <v>-213207690.39055949</v>
      </c>
      <c r="G7" s="89">
        <f>'Balance general'!G50</f>
        <v>-293277343.09459162</v>
      </c>
      <c r="H7" s="89">
        <f>'Balance general'!H50</f>
        <v>-374847888.08441758</v>
      </c>
      <c r="I7" s="89">
        <f>'Balance general'!I50</f>
        <v>-457582636.8987931</v>
      </c>
      <c r="J7" s="89">
        <f>'Balance general'!J50</f>
        <v>-542302891.15248644</v>
      </c>
      <c r="K7" s="89">
        <f>'Balance general'!K50</f>
        <v>-628386700.34071374</v>
      </c>
    </row>
    <row r="8" spans="2:11">
      <c r="B8" s="103" t="s">
        <v>214</v>
      </c>
      <c r="C8" s="90">
        <f>Parametros!C209</f>
        <v>0.12</v>
      </c>
    </row>
    <row r="9" spans="2:11" ht="28" customHeight="1">
      <c r="B9" s="148" t="s">
        <v>215</v>
      </c>
      <c r="C9" s="91">
        <f>NPV(C8,C7:K7)</f>
        <v>-1259391486.5576167</v>
      </c>
    </row>
    <row r="10" spans="2:11">
      <c r="C10" s="93"/>
      <c r="D10" s="92"/>
      <c r="E10" s="92"/>
      <c r="F10" s="92"/>
      <c r="G10" s="92"/>
      <c r="H10" s="92"/>
      <c r="I10" s="92"/>
      <c r="J10" s="92"/>
      <c r="K10" s="92"/>
    </row>
    <row r="11" spans="2:11" ht="18" customHeight="1">
      <c r="B11" s="314" t="s">
        <v>216</v>
      </c>
      <c r="C11" s="315"/>
      <c r="D11" s="315"/>
      <c r="E11" s="315"/>
      <c r="F11" s="315"/>
      <c r="G11" s="315"/>
      <c r="H11" s="315"/>
      <c r="I11" s="315"/>
      <c r="J11" s="315"/>
      <c r="K11" s="315"/>
    </row>
    <row r="12" spans="2:11">
      <c r="B12" s="20"/>
      <c r="C12" s="20"/>
      <c r="D12" s="20"/>
      <c r="E12" s="20"/>
      <c r="F12" s="20"/>
      <c r="G12" s="20"/>
      <c r="H12" s="20"/>
      <c r="I12" s="20"/>
      <c r="J12" s="92"/>
      <c r="K12" s="92"/>
    </row>
    <row r="13" spans="2:11">
      <c r="B13" s="103" t="s">
        <v>217</v>
      </c>
      <c r="C13" s="94">
        <f>'Balance general'!L24</f>
        <v>219227076.93433416</v>
      </c>
    </row>
    <row r="14" spans="2:11">
      <c r="B14" s="103" t="s">
        <v>218</v>
      </c>
      <c r="C14" s="94">
        <f>'Balance general'!L45</f>
        <v>123344707.44313459</v>
      </c>
    </row>
    <row r="15" spans="2:11">
      <c r="B15" s="103" t="s">
        <v>219</v>
      </c>
      <c r="C15" s="94">
        <f>C13-C14</f>
        <v>95882369.491199568</v>
      </c>
    </row>
    <row r="16" spans="2:11">
      <c r="B16" s="95"/>
      <c r="C16" s="96"/>
    </row>
    <row r="17" spans="2:11" ht="30">
      <c r="B17" s="148" t="s">
        <v>220</v>
      </c>
      <c r="C17" s="89">
        <f>C15/((1+C8)^COUNT(C6:K6))</f>
        <v>34576143.65751452</v>
      </c>
    </row>
    <row r="18" spans="2:11">
      <c r="B18" s="97"/>
      <c r="C18" s="96"/>
      <c r="D18" s="88"/>
      <c r="E18" s="88"/>
      <c r="F18" s="88"/>
      <c r="G18" s="88"/>
      <c r="H18" s="88"/>
      <c r="I18" s="88"/>
      <c r="J18" s="88"/>
      <c r="K18" s="88"/>
    </row>
    <row r="19" spans="2:11" ht="18">
      <c r="B19" s="314" t="s">
        <v>221</v>
      </c>
      <c r="C19" s="315"/>
      <c r="D19" s="315"/>
      <c r="E19" s="315"/>
      <c r="F19" s="315"/>
      <c r="G19" s="315"/>
      <c r="H19" s="315"/>
      <c r="I19" s="315"/>
      <c r="J19" s="315"/>
      <c r="K19" s="315"/>
    </row>
    <row r="20" spans="2:11"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2:11">
      <c r="B21" s="148" t="s">
        <v>222</v>
      </c>
      <c r="C21" s="98">
        <f>C9+C17</f>
        <v>-1224815342.9001021</v>
      </c>
    </row>
  </sheetData>
  <mergeCells count="3">
    <mergeCell ref="B4:K4"/>
    <mergeCell ref="B11:K11"/>
    <mergeCell ref="B19:K1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9"/>
  <sheetViews>
    <sheetView topLeftCell="A86" workbookViewId="0">
      <selection activeCell="C109" sqref="C109"/>
    </sheetView>
  </sheetViews>
  <sheetFormatPr baseColWidth="10" defaultRowHeight="15" x14ac:dyDescent="0"/>
  <cols>
    <col min="1" max="1" width="14.33203125" customWidth="1"/>
    <col min="2" max="2" width="40" customWidth="1"/>
    <col min="3" max="10" width="13.5" customWidth="1"/>
    <col min="11" max="11" width="15" customWidth="1"/>
  </cols>
  <sheetData>
    <row r="2" spans="1:11" ht="23">
      <c r="A2" s="14"/>
      <c r="B2" s="195" t="s">
        <v>524</v>
      </c>
      <c r="C2" s="101"/>
      <c r="D2" s="101"/>
      <c r="E2" s="14"/>
      <c r="F2" s="14"/>
      <c r="G2" s="14"/>
      <c r="H2" s="14"/>
      <c r="I2" s="14"/>
      <c r="J2" s="14"/>
      <c r="K2" s="14"/>
    </row>
    <row r="3" spans="1:11">
      <c r="A3" s="14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ht="18">
      <c r="A4" s="14"/>
      <c r="B4" s="14"/>
      <c r="C4" s="106">
        <v>2013</v>
      </c>
      <c r="D4" s="106">
        <v>2014</v>
      </c>
      <c r="E4" s="106">
        <v>2015</v>
      </c>
      <c r="F4" s="106">
        <v>2016</v>
      </c>
      <c r="G4" s="106">
        <v>2017</v>
      </c>
      <c r="H4" s="106">
        <v>2018</v>
      </c>
      <c r="I4" s="106">
        <v>2019</v>
      </c>
      <c r="J4" s="106">
        <v>2020</v>
      </c>
      <c r="K4" s="106">
        <v>2021</v>
      </c>
    </row>
    <row r="5" spans="1:11" ht="18">
      <c r="A5" s="14"/>
      <c r="B5" s="106" t="s">
        <v>237</v>
      </c>
      <c r="C5" s="22">
        <f>'Balance general'!C8</f>
        <v>6500000</v>
      </c>
      <c r="D5" s="22">
        <f t="shared" ref="D5:K5" si="0">C48</f>
        <v>7000000</v>
      </c>
      <c r="E5" s="22">
        <f t="shared" si="0"/>
        <v>2000000</v>
      </c>
      <c r="F5" s="22">
        <f t="shared" si="0"/>
        <v>2000000</v>
      </c>
      <c r="G5" s="22">
        <f t="shared" si="0"/>
        <v>2000000</v>
      </c>
      <c r="H5" s="22">
        <f t="shared" si="0"/>
        <v>2000000</v>
      </c>
      <c r="I5" s="22">
        <f t="shared" si="0"/>
        <v>2000000</v>
      </c>
      <c r="J5" s="22">
        <f t="shared" si="0"/>
        <v>2000000</v>
      </c>
      <c r="K5" s="22">
        <f t="shared" si="0"/>
        <v>2000000</v>
      </c>
    </row>
    <row r="6" spans="1:11">
      <c r="A6" s="14"/>
      <c r="C6" s="30"/>
      <c r="D6" s="30"/>
      <c r="E6" s="30"/>
      <c r="F6" s="30"/>
      <c r="G6" s="30"/>
      <c r="H6" s="30"/>
      <c r="I6" s="30"/>
      <c r="J6" s="30"/>
      <c r="K6" s="30"/>
    </row>
    <row r="7" spans="1:11">
      <c r="A7" s="14"/>
      <c r="B7" s="248" t="s">
        <v>531</v>
      </c>
      <c r="C7" s="14"/>
      <c r="D7" s="14"/>
      <c r="E7" s="14"/>
      <c r="F7" s="14"/>
      <c r="G7" s="14"/>
      <c r="H7" s="14"/>
      <c r="I7" s="14"/>
      <c r="J7" s="14"/>
      <c r="K7" s="14"/>
    </row>
    <row r="8" spans="1:11" ht="18">
      <c r="A8" s="14"/>
      <c r="B8" s="106" t="s">
        <v>238</v>
      </c>
      <c r="C8" s="106">
        <v>2013</v>
      </c>
      <c r="D8" s="106">
        <v>2014</v>
      </c>
      <c r="E8" s="106">
        <v>2015</v>
      </c>
      <c r="F8" s="106">
        <v>2016</v>
      </c>
      <c r="G8" s="106">
        <v>2017</v>
      </c>
      <c r="H8" s="106">
        <v>2018</v>
      </c>
      <c r="I8" s="106">
        <v>2019</v>
      </c>
      <c r="J8" s="106">
        <v>2020</v>
      </c>
      <c r="K8" s="106">
        <v>2021</v>
      </c>
    </row>
    <row r="9" spans="1:11">
      <c r="A9" s="14"/>
      <c r="B9" s="103" t="s">
        <v>239</v>
      </c>
      <c r="C9" s="18">
        <f>'Cuentas x Cobrar'!C15</f>
        <v>166447696.09999999</v>
      </c>
      <c r="D9" s="18">
        <f>'Cuentas x Cobrar'!D15</f>
        <v>184244292.64095715</v>
      </c>
      <c r="E9" s="18">
        <f>'Cuentas x Cobrar'!E15</f>
        <v>188600599.94964516</v>
      </c>
      <c r="F9" s="18">
        <f>'Cuentas x Cobrar'!F15</f>
        <v>192634720.21390688</v>
      </c>
      <c r="G9" s="18">
        <f>'Cuentas x Cobrar'!G15</f>
        <v>196840403.7170262</v>
      </c>
      <c r="H9" s="18">
        <f>'Cuentas x Cobrar'!H15</f>
        <v>202134191.32821119</v>
      </c>
      <c r="I9" s="18">
        <f>'Cuentas x Cobrar'!I15</f>
        <v>206465667.20764109</v>
      </c>
      <c r="J9" s="18">
        <f>'Cuentas x Cobrar'!J15</f>
        <v>210864251.15749186</v>
      </c>
      <c r="K9" s="18">
        <f>'Cuentas x Cobrar'!K15</f>
        <v>215188439.93639857</v>
      </c>
    </row>
    <row r="10" spans="1:11">
      <c r="A10" s="14"/>
      <c r="C10" s="59"/>
      <c r="D10" s="59"/>
      <c r="E10" s="59"/>
      <c r="F10" s="59"/>
      <c r="G10" s="59"/>
      <c r="H10" s="59"/>
      <c r="I10" s="59"/>
      <c r="J10" s="59"/>
      <c r="K10" s="59"/>
    </row>
    <row r="11" spans="1:11" ht="36">
      <c r="A11" s="14"/>
      <c r="B11" s="104" t="s">
        <v>534</v>
      </c>
      <c r="C11" s="18">
        <f>C9</f>
        <v>166447696.09999999</v>
      </c>
      <c r="D11" s="18">
        <f t="shared" ref="D11:K11" si="1">D9</f>
        <v>184244292.64095715</v>
      </c>
      <c r="E11" s="18">
        <f t="shared" si="1"/>
        <v>188600599.94964516</v>
      </c>
      <c r="F11" s="18">
        <f t="shared" si="1"/>
        <v>192634720.21390688</v>
      </c>
      <c r="G11" s="18">
        <f t="shared" si="1"/>
        <v>196840403.7170262</v>
      </c>
      <c r="H11" s="18">
        <f t="shared" si="1"/>
        <v>202134191.32821119</v>
      </c>
      <c r="I11" s="18">
        <f t="shared" si="1"/>
        <v>206465667.20764109</v>
      </c>
      <c r="J11" s="18">
        <f t="shared" si="1"/>
        <v>210864251.15749186</v>
      </c>
      <c r="K11" s="18">
        <f t="shared" si="1"/>
        <v>215188439.93639857</v>
      </c>
    </row>
    <row r="12" spans="1:11">
      <c r="A12" s="14"/>
      <c r="B12" s="14"/>
    </row>
    <row r="13" spans="1:11" ht="36">
      <c r="A13" s="14"/>
      <c r="B13" s="106" t="s">
        <v>528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1:11" ht="15" customHeight="1">
      <c r="B14" s="103" t="s">
        <v>353</v>
      </c>
      <c r="C14" s="18">
        <f>C102</f>
        <v>0</v>
      </c>
      <c r="D14" s="18">
        <f t="shared" ref="D14:K14" si="2">D102</f>
        <v>2500000</v>
      </c>
      <c r="E14" s="18">
        <f t="shared" si="2"/>
        <v>2500000</v>
      </c>
      <c r="F14" s="18">
        <f t="shared" si="2"/>
        <v>2500000</v>
      </c>
      <c r="G14" s="18">
        <f t="shared" si="2"/>
        <v>2500000</v>
      </c>
      <c r="H14" s="18">
        <f t="shared" si="2"/>
        <v>2500000</v>
      </c>
      <c r="I14" s="18">
        <f t="shared" si="2"/>
        <v>2500000</v>
      </c>
      <c r="J14" s="18">
        <f t="shared" si="2"/>
        <v>2500000</v>
      </c>
      <c r="K14" s="18">
        <f t="shared" si="2"/>
        <v>2500000</v>
      </c>
    </row>
    <row r="15" spans="1:11" ht="15" customHeight="1">
      <c r="B15" s="103" t="s">
        <v>354</v>
      </c>
      <c r="C15" s="18">
        <f>C108</f>
        <v>0</v>
      </c>
      <c r="D15" s="18">
        <f t="shared" ref="D15:K15" si="3">D108</f>
        <v>8000000</v>
      </c>
      <c r="E15" s="18">
        <f t="shared" si="3"/>
        <v>8000000</v>
      </c>
      <c r="F15" s="18">
        <f t="shared" si="3"/>
        <v>8000000</v>
      </c>
      <c r="G15" s="18">
        <f t="shared" si="3"/>
        <v>8000000</v>
      </c>
      <c r="H15" s="18">
        <f t="shared" si="3"/>
        <v>8000000</v>
      </c>
      <c r="I15" s="18">
        <f t="shared" si="3"/>
        <v>8000000</v>
      </c>
      <c r="J15" s="18">
        <f t="shared" si="3"/>
        <v>8000000</v>
      </c>
      <c r="K15" s="18">
        <f t="shared" si="3"/>
        <v>8000000</v>
      </c>
    </row>
    <row r="16" spans="1:11" ht="15" customHeight="1">
      <c r="B16" s="103" t="s">
        <v>355</v>
      </c>
      <c r="C16" s="18">
        <f>C118</f>
        <v>0</v>
      </c>
      <c r="D16" s="18">
        <f t="shared" ref="D16:K16" si="4">D118</f>
        <v>9835249.3573135138</v>
      </c>
      <c r="E16" s="18">
        <f t="shared" si="4"/>
        <v>0</v>
      </c>
      <c r="F16" s="18">
        <f t="shared" si="4"/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</row>
    <row r="17" spans="1:11" ht="15" customHeight="1">
      <c r="B17" s="103" t="s">
        <v>356</v>
      </c>
      <c r="C17" s="18">
        <f t="shared" ref="C17:K17" si="5">C65</f>
        <v>0</v>
      </c>
      <c r="D17" s="18">
        <f t="shared" si="5"/>
        <v>3713404.0896579623</v>
      </c>
      <c r="E17" s="18">
        <f t="shared" si="5"/>
        <v>21235961.990138888</v>
      </c>
      <c r="F17" s="18">
        <f t="shared" si="5"/>
        <v>20968557.496468782</v>
      </c>
      <c r="G17" s="18">
        <f t="shared" si="5"/>
        <v>20815661.898411393</v>
      </c>
      <c r="H17" s="18">
        <f t="shared" si="5"/>
        <v>19351378.656255007</v>
      </c>
      <c r="I17" s="18">
        <f t="shared" si="5"/>
        <v>20381278.286946416</v>
      </c>
      <c r="J17" s="18">
        <f t="shared" si="5"/>
        <v>19915127.077766001</v>
      </c>
      <c r="K17" s="18">
        <f t="shared" si="5"/>
        <v>19123325.264523149</v>
      </c>
    </row>
    <row r="18" spans="1:11" ht="37" customHeight="1">
      <c r="B18" s="104" t="s">
        <v>533</v>
      </c>
      <c r="C18" s="249">
        <f t="shared" ref="C18:K18" si="6">SUM(C14:C17)</f>
        <v>0</v>
      </c>
      <c r="D18" s="249">
        <f t="shared" si="6"/>
        <v>24048653.446971476</v>
      </c>
      <c r="E18" s="249">
        <f t="shared" si="6"/>
        <v>31735961.990138888</v>
      </c>
      <c r="F18" s="249">
        <f t="shared" si="6"/>
        <v>31468557.496468782</v>
      </c>
      <c r="G18" s="249">
        <f t="shared" si="6"/>
        <v>31315661.898411393</v>
      </c>
      <c r="H18" s="249">
        <f t="shared" si="6"/>
        <v>29851378.656255007</v>
      </c>
      <c r="I18" s="249">
        <f t="shared" si="6"/>
        <v>30881278.286946416</v>
      </c>
      <c r="J18" s="249">
        <f t="shared" si="6"/>
        <v>30415127.077766001</v>
      </c>
      <c r="K18" s="249">
        <f t="shared" si="6"/>
        <v>29623325.264523149</v>
      </c>
    </row>
    <row r="19" spans="1:11">
      <c r="A19" s="14"/>
      <c r="B19" s="14"/>
    </row>
    <row r="20" spans="1:11" ht="18">
      <c r="A20" s="14"/>
      <c r="B20" s="104" t="s">
        <v>240</v>
      </c>
      <c r="C20" s="18">
        <f t="shared" ref="C20:K20" si="7">C11+C18</f>
        <v>166447696.09999999</v>
      </c>
      <c r="D20" s="18">
        <f t="shared" si="7"/>
        <v>208292946.08792862</v>
      </c>
      <c r="E20" s="18">
        <f t="shared" si="7"/>
        <v>220336561.93978405</v>
      </c>
      <c r="F20" s="18">
        <f t="shared" si="7"/>
        <v>224103277.71037567</v>
      </c>
      <c r="G20" s="18">
        <f t="shared" si="7"/>
        <v>228156065.6154376</v>
      </c>
      <c r="H20" s="18">
        <f t="shared" si="7"/>
        <v>231985569.9844662</v>
      </c>
      <c r="I20" s="18">
        <f t="shared" si="7"/>
        <v>237346945.49458751</v>
      </c>
      <c r="J20" s="18">
        <f t="shared" si="7"/>
        <v>241279378.23525786</v>
      </c>
      <c r="K20" s="18">
        <f t="shared" si="7"/>
        <v>244811765.20092171</v>
      </c>
    </row>
    <row r="21" spans="1:11">
      <c r="A21" s="14"/>
      <c r="B21" s="14"/>
    </row>
    <row r="22" spans="1:11">
      <c r="A22" s="14"/>
      <c r="B22" s="248" t="s">
        <v>532</v>
      </c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36">
      <c r="A23" s="14"/>
      <c r="B23" s="106" t="s">
        <v>241</v>
      </c>
      <c r="C23" s="106">
        <v>2013</v>
      </c>
      <c r="D23" s="106">
        <v>2014</v>
      </c>
      <c r="E23" s="106">
        <v>2015</v>
      </c>
      <c r="F23" s="106">
        <v>2016</v>
      </c>
      <c r="G23" s="106">
        <v>2017</v>
      </c>
      <c r="H23" s="106">
        <v>2018</v>
      </c>
      <c r="I23" s="106">
        <v>2019</v>
      </c>
      <c r="J23" s="106">
        <v>2020</v>
      </c>
      <c r="K23" s="106">
        <v>2021</v>
      </c>
    </row>
    <row r="24" spans="1:11">
      <c r="B24" s="103" t="s">
        <v>242</v>
      </c>
      <c r="C24" s="105">
        <f>'Cuentas x Pagar'!C13</f>
        <v>9000000</v>
      </c>
      <c r="D24" s="105">
        <f>'Cuentas x Pagar'!D13</f>
        <v>55922724.180512421</v>
      </c>
      <c r="E24" s="105">
        <f>'Cuentas x Pagar'!E13</f>
        <v>57104771.664662719</v>
      </c>
      <c r="F24" s="105">
        <f>'Cuentas x Pagar'!F13</f>
        <v>57905592.159590282</v>
      </c>
      <c r="G24" s="105">
        <f>'Cuentas x Pagar'!G13</f>
        <v>59149744.912966065</v>
      </c>
      <c r="H24" s="105">
        <f>'Cuentas x Pagar'!H13</f>
        <v>60455801.116275668</v>
      </c>
      <c r="I24" s="105">
        <f>'Cuentas x Pagar'!I13</f>
        <v>62145206.774038732</v>
      </c>
      <c r="J24" s="105">
        <f>'Cuentas x Pagar'!J13</f>
        <v>63395668.963756777</v>
      </c>
      <c r="K24" s="105">
        <f>'Cuentas x Pagar'!K13</f>
        <v>64760088.128142968</v>
      </c>
    </row>
    <row r="25" spans="1:11">
      <c r="B25" s="103" t="s">
        <v>243</v>
      </c>
      <c r="C25" s="18">
        <f>SUM(Gastos!C7:C8)</f>
        <v>3064173.937627119</v>
      </c>
      <c r="D25" s="18">
        <f>SUM(Gastos!D7:D8)</f>
        <v>3132985.1438669488</v>
      </c>
      <c r="E25" s="18">
        <f>SUM(Gastos!E7:E8)</f>
        <v>3207644.8606001073</v>
      </c>
      <c r="F25" s="18">
        <f>SUM(Gastos!F7:F8)</f>
        <v>3275003.7627282729</v>
      </c>
      <c r="G25" s="18">
        <f>SUM(Gastos!G7:G8)</f>
        <v>3346932.625098668</v>
      </c>
      <c r="H25" s="18">
        <f>SUM(Gastos!H7:H8)</f>
        <v>3439563.2430991456</v>
      </c>
      <c r="I25" s="18">
        <f>SUM(Gastos!I7:I8)</f>
        <v>3509857.2548981751</v>
      </c>
      <c r="J25" s="18">
        <f>SUM(Gastos!J7:J8)</f>
        <v>3585110.5095519023</v>
      </c>
      <c r="K25" s="18">
        <f>SUM(Gastos!K7:K8)</f>
        <v>3658089.7873311592</v>
      </c>
    </row>
    <row r="26" spans="1:11">
      <c r="B26" s="103" t="s">
        <v>244</v>
      </c>
      <c r="C26" s="18">
        <f>'Personal y Servicios'!C34</f>
        <v>53415770.971111104</v>
      </c>
      <c r="D26" s="18">
        <f>'Personal y Servicios'!D34</f>
        <v>53997535.286072217</v>
      </c>
      <c r="E26" s="18">
        <f>'Personal y Servicios'!E34</f>
        <v>54532247.043645583</v>
      </c>
      <c r="F26" s="18">
        <f>'Personal y Servicios'!F34</f>
        <v>55390881.483067006</v>
      </c>
      <c r="G26" s="18">
        <f>'Personal y Servicios'!G34</f>
        <v>56161829.848452114</v>
      </c>
      <c r="H26" s="18">
        <f>'Personal y Servicios'!H34</f>
        <v>56857989.235130802</v>
      </c>
      <c r="I26" s="18">
        <f>'Personal y Servicios'!I34</f>
        <v>57980153.229294248</v>
      </c>
      <c r="J26" s="18">
        <f>'Personal y Servicios'!J34</f>
        <v>58699954.621273264</v>
      </c>
      <c r="K26" s="18">
        <f>'Personal y Servicios'!K34</f>
        <v>59195265.205242515</v>
      </c>
    </row>
    <row r="27" spans="1:11" ht="30">
      <c r="B27" s="196" t="s">
        <v>357</v>
      </c>
      <c r="C27" s="18">
        <f>'Personal y Servicios'!C44</f>
        <v>8200000</v>
      </c>
      <c r="D27" s="18">
        <f>'Personal y Servicios'!D44</f>
        <v>8282000</v>
      </c>
      <c r="E27" s="18">
        <f>'Personal y Servicios'!E44</f>
        <v>8381384</v>
      </c>
      <c r="F27" s="18">
        <f>'Personal y Servicios'!F44</f>
        <v>8490341.9919999987</v>
      </c>
      <c r="G27" s="18">
        <f>'Personal y Servicios'!G44</f>
        <v>8617697.1218799986</v>
      </c>
      <c r="H27" s="18">
        <f>'Personal y Servicios'!H44</f>
        <v>8755580.2758300789</v>
      </c>
      <c r="I27" s="18">
        <f>'Personal y Servicios'!I44</f>
        <v>8913180.7207950205</v>
      </c>
      <c r="J27" s="18">
        <f>'Personal y Servicios'!J44</f>
        <v>9082531.1544901244</v>
      </c>
      <c r="K27" s="18">
        <f>'Personal y Servicios'!K44</f>
        <v>9264181.7775799278</v>
      </c>
    </row>
    <row r="28" spans="1:11">
      <c r="B28" s="279" t="s">
        <v>576</v>
      </c>
      <c r="C28" s="253">
        <f>C100+C101</f>
        <v>0</v>
      </c>
      <c r="D28" s="253">
        <f t="shared" ref="D28:K28" si="8">D100+D101</f>
        <v>0</v>
      </c>
      <c r="E28" s="253">
        <f t="shared" si="8"/>
        <v>3500000</v>
      </c>
      <c r="F28" s="253">
        <f t="shared" si="8"/>
        <v>3500000</v>
      </c>
      <c r="G28" s="253">
        <f t="shared" si="8"/>
        <v>3500000</v>
      </c>
      <c r="H28" s="253">
        <f t="shared" si="8"/>
        <v>3500000</v>
      </c>
      <c r="I28" s="253">
        <f t="shared" si="8"/>
        <v>3500000</v>
      </c>
      <c r="J28" s="253">
        <f t="shared" si="8"/>
        <v>3500000</v>
      </c>
      <c r="K28" s="253">
        <f t="shared" si="8"/>
        <v>3500000</v>
      </c>
    </row>
    <row r="29" spans="1:11">
      <c r="B29" s="103" t="s">
        <v>245</v>
      </c>
      <c r="C29" s="18">
        <f>'Activos fijos'!C141</f>
        <v>96749.625</v>
      </c>
      <c r="D29" s="18">
        <f>'Activos fijos'!D141</f>
        <v>97717.121249999997</v>
      </c>
      <c r="E29" s="18">
        <f>'Activos fijos'!E141</f>
        <v>98889.726705000008</v>
      </c>
      <c r="F29" s="18">
        <f>'Activos fijos'!F141</f>
        <v>100175.29315216499</v>
      </c>
      <c r="G29" s="18">
        <f>'Activos fijos'!G141</f>
        <v>101677.92254944747</v>
      </c>
      <c r="H29" s="18">
        <f>'Activos fijos'!H141</f>
        <v>103304.76931023863</v>
      </c>
      <c r="I29" s="18">
        <f>'Activos fijos'!I141</f>
        <v>105164.25515782293</v>
      </c>
      <c r="J29" s="18">
        <f>'Activos fijos'!J141</f>
        <v>107162.37600582156</v>
      </c>
      <c r="K29" s="18">
        <f>'Activos fijos'!K141</f>
        <v>109305.623525938</v>
      </c>
    </row>
    <row r="30" spans="1:11">
      <c r="B30" s="103" t="s">
        <v>246</v>
      </c>
      <c r="C30" s="16">
        <f>'IGV e IR'!C32</f>
        <v>57479057.222311921</v>
      </c>
      <c r="D30" s="16">
        <f>'IGV e IR'!D32</f>
        <v>77279005.81170398</v>
      </c>
      <c r="E30" s="16">
        <f>'IGV e IR'!E32</f>
        <v>78449627.356543586</v>
      </c>
      <c r="F30" s="16">
        <f>'IGV e IR'!F32</f>
        <v>80069652.704032138</v>
      </c>
      <c r="G30" s="16">
        <f>'IGV e IR'!G32</f>
        <v>81570544.989825994</v>
      </c>
      <c r="H30" s="16">
        <f>'IGV e IR'!H32</f>
        <v>82734748.814375505</v>
      </c>
      <c r="I30" s="16">
        <f>'IGV e IR'!I32</f>
        <v>84720254.253693312</v>
      </c>
      <c r="J30" s="16">
        <f>'IGV e IR'!J32</f>
        <v>86083809.188227355</v>
      </c>
      <c r="K30" s="16">
        <f>'IGV e IR'!K32</f>
        <v>87155485.276364386</v>
      </c>
    </row>
    <row r="31" spans="1:11">
      <c r="B31" s="103" t="s">
        <v>247</v>
      </c>
      <c r="C31" s="16">
        <f>'IGV e IR'!C20</f>
        <v>10694522.986636341</v>
      </c>
      <c r="D31" s="16">
        <f>'IGV e IR'!D20</f>
        <v>14580978.54452306</v>
      </c>
      <c r="E31" s="16">
        <f>'IGV e IR'!E20</f>
        <v>15061997.287627051</v>
      </c>
      <c r="F31" s="16">
        <f>'IGV e IR'!F20</f>
        <v>15371630.315805804</v>
      </c>
      <c r="G31" s="16">
        <f>'IGV e IR'!G20</f>
        <v>15707638.194665337</v>
      </c>
      <c r="H31" s="16">
        <f>'IGV e IR'!H20</f>
        <v>16138582.530444758</v>
      </c>
      <c r="I31" s="16">
        <f>'IGV e IR'!I20</f>
        <v>16473129.006710174</v>
      </c>
      <c r="J31" s="16">
        <f>'IGV e IR'!J20</f>
        <v>16825141.421952613</v>
      </c>
      <c r="K31" s="16">
        <f>'IGV e IR'!K20</f>
        <v>17169349.402734812</v>
      </c>
    </row>
    <row r="32" spans="1:11">
      <c r="B32" s="103" t="s">
        <v>358</v>
      </c>
      <c r="C32" s="16">
        <f>'Balance general'!D34</f>
        <v>0</v>
      </c>
      <c r="D32" s="16">
        <f>'Balance general'!E34</f>
        <v>0</v>
      </c>
      <c r="E32" s="16">
        <f>'Balance general'!F34</f>
        <v>0</v>
      </c>
      <c r="F32" s="16">
        <f>'Balance general'!G34</f>
        <v>0</v>
      </c>
      <c r="G32" s="16">
        <f>'Balance general'!H34</f>
        <v>0</v>
      </c>
      <c r="H32" s="16">
        <f>'Balance general'!I34</f>
        <v>0</v>
      </c>
      <c r="I32" s="16">
        <f>'Balance general'!J34</f>
        <v>0</v>
      </c>
      <c r="J32" s="16">
        <f>'Balance general'!K34</f>
        <v>0</v>
      </c>
      <c r="K32" s="16">
        <f>'Balance general'!L34</f>
        <v>0</v>
      </c>
    </row>
    <row r="34" spans="1:11" ht="36">
      <c r="B34" s="104" t="s">
        <v>535</v>
      </c>
      <c r="C34" s="249">
        <f t="shared" ref="C34:K34" si="9">SUM(C24:C32)</f>
        <v>141950274.74268648</v>
      </c>
      <c r="D34" s="249">
        <f t="shared" si="9"/>
        <v>213292946.08792862</v>
      </c>
      <c r="E34" s="249">
        <f t="shared" si="9"/>
        <v>220336561.93978405</v>
      </c>
      <c r="F34" s="249">
        <f t="shared" si="9"/>
        <v>224103277.71037567</v>
      </c>
      <c r="G34" s="249">
        <f t="shared" si="9"/>
        <v>228156065.6154376</v>
      </c>
      <c r="H34" s="249">
        <f t="shared" si="9"/>
        <v>231985569.9844662</v>
      </c>
      <c r="I34" s="249">
        <f t="shared" si="9"/>
        <v>237346945.49458751</v>
      </c>
      <c r="J34" s="249">
        <f t="shared" si="9"/>
        <v>241279378.23525786</v>
      </c>
      <c r="K34" s="249">
        <f t="shared" si="9"/>
        <v>244811765.20092171</v>
      </c>
    </row>
    <row r="35" spans="1:11">
      <c r="A35" s="14"/>
      <c r="B35" s="14"/>
    </row>
    <row r="36" spans="1:11" ht="36">
      <c r="A36" s="14"/>
      <c r="B36" s="106" t="s">
        <v>529</v>
      </c>
      <c r="C36" s="106">
        <v>2013</v>
      </c>
      <c r="D36" s="106">
        <v>2014</v>
      </c>
      <c r="E36" s="106">
        <v>2015</v>
      </c>
      <c r="F36" s="106">
        <v>2016</v>
      </c>
      <c r="G36" s="106">
        <v>2017</v>
      </c>
      <c r="H36" s="106">
        <v>2018</v>
      </c>
      <c r="I36" s="106">
        <v>2019</v>
      </c>
      <c r="J36" s="106">
        <v>2020</v>
      </c>
      <c r="K36" s="106">
        <v>2021</v>
      </c>
    </row>
    <row r="37" spans="1:11" ht="15" customHeight="1">
      <c r="B37" s="103" t="s">
        <v>359</v>
      </c>
      <c r="C37" s="22">
        <f>IF(C73,C74,0)</f>
        <v>0</v>
      </c>
      <c r="D37" s="22">
        <f t="shared" ref="D37:K37" si="10">IF(D73,D74,0)</f>
        <v>0</v>
      </c>
      <c r="E37" s="22">
        <f t="shared" si="10"/>
        <v>0</v>
      </c>
      <c r="F37" s="22">
        <f t="shared" si="10"/>
        <v>0</v>
      </c>
      <c r="G37" s="22">
        <f t="shared" si="10"/>
        <v>0</v>
      </c>
      <c r="H37" s="22">
        <f t="shared" si="10"/>
        <v>0</v>
      </c>
      <c r="I37" s="22">
        <f t="shared" si="10"/>
        <v>0</v>
      </c>
      <c r="J37" s="22">
        <f t="shared" si="10"/>
        <v>0</v>
      </c>
      <c r="K37" s="22">
        <f t="shared" si="10"/>
        <v>0</v>
      </c>
    </row>
    <row r="38" spans="1:11" ht="15" customHeight="1">
      <c r="B38" s="103" t="s">
        <v>248</v>
      </c>
      <c r="C38" s="16">
        <f>C113</f>
        <v>15000000</v>
      </c>
      <c r="D38" s="16">
        <f t="shared" ref="D38:K38" si="11">D113</f>
        <v>0</v>
      </c>
      <c r="E38" s="16">
        <f t="shared" si="11"/>
        <v>0</v>
      </c>
      <c r="F38" s="16">
        <f t="shared" si="11"/>
        <v>0</v>
      </c>
      <c r="G38" s="16">
        <f t="shared" si="11"/>
        <v>0</v>
      </c>
      <c r="H38" s="16">
        <f t="shared" si="11"/>
        <v>0</v>
      </c>
      <c r="I38" s="16">
        <f t="shared" si="11"/>
        <v>0</v>
      </c>
      <c r="J38" s="16">
        <f t="shared" si="11"/>
        <v>0</v>
      </c>
      <c r="K38" s="16">
        <f t="shared" si="11"/>
        <v>0</v>
      </c>
    </row>
    <row r="39" spans="1:11" ht="15" customHeight="1">
      <c r="B39" s="103" t="s">
        <v>249</v>
      </c>
      <c r="C39" s="16">
        <f>C117</f>
        <v>8997421.3573135138</v>
      </c>
      <c r="D39" s="16">
        <f t="shared" ref="D39:K39" si="12">D117</f>
        <v>0</v>
      </c>
      <c r="E39" s="16">
        <f t="shared" si="12"/>
        <v>0</v>
      </c>
      <c r="F39" s="16">
        <f t="shared" si="12"/>
        <v>0</v>
      </c>
      <c r="G39" s="16">
        <f t="shared" si="12"/>
        <v>0</v>
      </c>
      <c r="H39" s="16">
        <f t="shared" si="12"/>
        <v>0</v>
      </c>
      <c r="I39" s="16">
        <f t="shared" si="12"/>
        <v>0</v>
      </c>
      <c r="J39" s="16">
        <f t="shared" si="12"/>
        <v>0</v>
      </c>
      <c r="K39" s="16">
        <f t="shared" si="12"/>
        <v>0</v>
      </c>
    </row>
    <row r="40" spans="1:11" ht="38" customHeight="1">
      <c r="B40" s="104" t="s">
        <v>533</v>
      </c>
      <c r="C40" s="250">
        <f t="shared" ref="C40:K40" si="13">SUM(C37:C39)</f>
        <v>23997421.357313514</v>
      </c>
      <c r="D40" s="250">
        <f t="shared" si="13"/>
        <v>0</v>
      </c>
      <c r="E40" s="250">
        <f t="shared" si="13"/>
        <v>0</v>
      </c>
      <c r="F40" s="250">
        <f t="shared" si="13"/>
        <v>0</v>
      </c>
      <c r="G40" s="250">
        <f t="shared" si="13"/>
        <v>0</v>
      </c>
      <c r="H40" s="250">
        <f t="shared" si="13"/>
        <v>0</v>
      </c>
      <c r="I40" s="250">
        <f t="shared" si="13"/>
        <v>0</v>
      </c>
      <c r="J40" s="250">
        <f t="shared" si="13"/>
        <v>0</v>
      </c>
      <c r="K40" s="250">
        <f t="shared" si="13"/>
        <v>0</v>
      </c>
    </row>
    <row r="41" spans="1:11" ht="15" customHeight="1">
      <c r="A41" s="14"/>
      <c r="B41" s="14"/>
    </row>
    <row r="42" spans="1:11" ht="18">
      <c r="A42" s="14"/>
      <c r="B42" s="104" t="s">
        <v>250</v>
      </c>
      <c r="C42" s="18">
        <f t="shared" ref="C42:K42" si="14">C34+C40</f>
        <v>165947696.09999999</v>
      </c>
      <c r="D42" s="18">
        <f t="shared" si="14"/>
        <v>213292946.08792862</v>
      </c>
      <c r="E42" s="18">
        <f t="shared" si="14"/>
        <v>220336561.93978405</v>
      </c>
      <c r="F42" s="18">
        <f t="shared" si="14"/>
        <v>224103277.71037567</v>
      </c>
      <c r="G42" s="18">
        <f t="shared" si="14"/>
        <v>228156065.6154376</v>
      </c>
      <c r="H42" s="18">
        <f t="shared" si="14"/>
        <v>231985569.9844662</v>
      </c>
      <c r="I42" s="18">
        <f t="shared" si="14"/>
        <v>237346945.49458751</v>
      </c>
      <c r="J42" s="18">
        <f t="shared" si="14"/>
        <v>241279378.23525786</v>
      </c>
      <c r="K42" s="18">
        <f t="shared" si="14"/>
        <v>244811765.20092171</v>
      </c>
    </row>
    <row r="43" spans="1:11">
      <c r="A43" s="14"/>
      <c r="B43" s="14"/>
    </row>
    <row r="44" spans="1:11">
      <c r="A44" s="14"/>
      <c r="B44" s="14"/>
    </row>
    <row r="45" spans="1:11">
      <c r="A45" s="14"/>
      <c r="B45" s="14"/>
    </row>
    <row r="46" spans="1:11" ht="36">
      <c r="A46" s="14"/>
      <c r="B46" s="106" t="s">
        <v>530</v>
      </c>
      <c r="C46" s="18">
        <f t="shared" ref="C46:K46" si="15">C5+C11-C34</f>
        <v>30997421.357313514</v>
      </c>
      <c r="D46" s="18">
        <f t="shared" si="15"/>
        <v>-22048653.446971476</v>
      </c>
      <c r="E46" s="18">
        <f t="shared" si="15"/>
        <v>-29735961.990138888</v>
      </c>
      <c r="F46" s="18">
        <f t="shared" si="15"/>
        <v>-29468557.496468782</v>
      </c>
      <c r="G46" s="18">
        <f t="shared" si="15"/>
        <v>-29315661.898411393</v>
      </c>
      <c r="H46" s="18">
        <f t="shared" si="15"/>
        <v>-27851378.656255007</v>
      </c>
      <c r="I46" s="18">
        <f t="shared" si="15"/>
        <v>-28881278.286946416</v>
      </c>
      <c r="J46" s="18">
        <f t="shared" si="15"/>
        <v>-28415127.077766001</v>
      </c>
      <c r="K46" s="18">
        <f t="shared" si="15"/>
        <v>-27623325.264523149</v>
      </c>
    </row>
    <row r="47" spans="1:11">
      <c r="A47" s="14"/>
      <c r="B47" s="14"/>
    </row>
    <row r="48" spans="1:11" ht="18">
      <c r="A48" s="14"/>
      <c r="B48" s="106" t="s">
        <v>251</v>
      </c>
      <c r="C48" s="18">
        <f t="shared" ref="C48:K48" si="16">C5+C20-C42</f>
        <v>7000000</v>
      </c>
      <c r="D48" s="18">
        <f t="shared" si="16"/>
        <v>2000000</v>
      </c>
      <c r="E48" s="18">
        <f t="shared" si="16"/>
        <v>2000000</v>
      </c>
      <c r="F48" s="18">
        <f t="shared" si="16"/>
        <v>2000000</v>
      </c>
      <c r="G48" s="18">
        <f t="shared" si="16"/>
        <v>2000000</v>
      </c>
      <c r="H48" s="18">
        <f t="shared" si="16"/>
        <v>2000000</v>
      </c>
      <c r="I48" s="18">
        <f t="shared" si="16"/>
        <v>2000000</v>
      </c>
      <c r="J48" s="18">
        <f t="shared" si="16"/>
        <v>2000000</v>
      </c>
      <c r="K48" s="18">
        <f t="shared" si="16"/>
        <v>2000000</v>
      </c>
    </row>
    <row r="49" spans="1:11">
      <c r="A49" s="14"/>
      <c r="B49" s="14"/>
    </row>
    <row r="50" spans="1:11">
      <c r="A50" s="14"/>
      <c r="B50" s="14"/>
    </row>
    <row r="51" spans="1:11">
      <c r="A51" s="14"/>
      <c r="B51" s="248" t="s">
        <v>536</v>
      </c>
    </row>
    <row r="52" spans="1:11" ht="18">
      <c r="A52" s="14"/>
      <c r="B52" s="106" t="s">
        <v>360</v>
      </c>
      <c r="C52" s="106">
        <v>2013</v>
      </c>
      <c r="D52" s="106">
        <v>2014</v>
      </c>
      <c r="E52" s="106">
        <v>2015</v>
      </c>
      <c r="F52" s="106">
        <v>2016</v>
      </c>
      <c r="G52" s="106">
        <v>2017</v>
      </c>
      <c r="H52" s="106">
        <v>2018</v>
      </c>
      <c r="I52" s="106">
        <v>2019</v>
      </c>
      <c r="J52" s="106">
        <v>2020</v>
      </c>
      <c r="K52" s="106">
        <v>2021</v>
      </c>
    </row>
    <row r="53" spans="1:11">
      <c r="A53" s="14"/>
      <c r="B53" s="197" t="s">
        <v>361</v>
      </c>
      <c r="C53" s="105" t="b">
        <f>C46&lt;Parametros!$C$216</f>
        <v>0</v>
      </c>
      <c r="D53" s="105" t="b">
        <f>D46&lt;Parametros!$C$216</f>
        <v>1</v>
      </c>
      <c r="E53" s="105" t="b">
        <f>E46&lt;Parametros!$C$216</f>
        <v>1</v>
      </c>
      <c r="F53" s="105" t="b">
        <f>F46&lt;Parametros!$C$216</f>
        <v>1</v>
      </c>
      <c r="G53" s="105" t="b">
        <f>G46&lt;Parametros!$C$216</f>
        <v>1</v>
      </c>
      <c r="H53" s="105" t="b">
        <f>H46&lt;Parametros!$C$216</f>
        <v>1</v>
      </c>
      <c r="I53" s="105" t="b">
        <f>I46&lt;Parametros!$C$216</f>
        <v>1</v>
      </c>
      <c r="J53" s="105" t="b">
        <f>J46&lt;Parametros!$C$216</f>
        <v>1</v>
      </c>
      <c r="K53" s="105" t="b">
        <f>K46&lt;Parametros!$C$216</f>
        <v>1</v>
      </c>
    </row>
    <row r="54" spans="1:11">
      <c r="A54" s="14"/>
      <c r="B54" s="198" t="s">
        <v>362</v>
      </c>
      <c r="C54" s="18">
        <f>IF(C53,Parametros!$C$216-C46,0)</f>
        <v>0</v>
      </c>
      <c r="D54" s="18">
        <f>IF(D53,Parametros!$C$216-D46,0)</f>
        <v>24048653.446971476</v>
      </c>
      <c r="E54" s="18">
        <f>IF(E53,Parametros!$C$216-E46,0)</f>
        <v>31735961.990138888</v>
      </c>
      <c r="F54" s="18">
        <f>IF(F53,Parametros!$C$216-F46,0)</f>
        <v>31468557.496468782</v>
      </c>
      <c r="G54" s="18">
        <f>IF(G53,Parametros!$C$216-G46,0)</f>
        <v>31315661.898411393</v>
      </c>
      <c r="H54" s="18">
        <f>IF(H53,Parametros!$C$216-H46,0)</f>
        <v>29851378.656255007</v>
      </c>
      <c r="I54" s="18">
        <f>IF(I53,Parametros!$C$216-I46,0)</f>
        <v>30881278.286946416</v>
      </c>
      <c r="J54" s="18">
        <f>IF(J53,Parametros!$C$216-J46,0)</f>
        <v>30415127.077766001</v>
      </c>
      <c r="K54" s="18">
        <f>IF(K53,Parametros!$C$216-K46,0)</f>
        <v>29623325.264523149</v>
      </c>
    </row>
    <row r="55" spans="1:11">
      <c r="A55" s="14"/>
      <c r="B55" s="199" t="s">
        <v>363</v>
      </c>
      <c r="C55" s="18" t="b">
        <f>AND(C53,(C54&gt;0))</f>
        <v>0</v>
      </c>
      <c r="D55" s="18" t="b">
        <f t="shared" ref="D55:K55" si="17">AND(D53,(D54&gt;0))</f>
        <v>1</v>
      </c>
      <c r="E55" s="18" t="b">
        <f t="shared" si="17"/>
        <v>1</v>
      </c>
      <c r="F55" s="18" t="b">
        <f t="shared" si="17"/>
        <v>1</v>
      </c>
      <c r="G55" s="18" t="b">
        <f t="shared" si="17"/>
        <v>1</v>
      </c>
      <c r="H55" s="18" t="b">
        <f t="shared" si="17"/>
        <v>1</v>
      </c>
      <c r="I55" s="18" t="b">
        <f t="shared" si="17"/>
        <v>1</v>
      </c>
      <c r="J55" s="18" t="b">
        <f t="shared" si="17"/>
        <v>1</v>
      </c>
      <c r="K55" s="18" t="b">
        <f t="shared" si="17"/>
        <v>1</v>
      </c>
    </row>
    <row r="56" spans="1:11">
      <c r="A56" s="14"/>
      <c r="B56" s="200" t="s">
        <v>364</v>
      </c>
      <c r="C56" s="18">
        <f>IF(C55,MIN(C54,Parametros!$C$218),0)</f>
        <v>0</v>
      </c>
      <c r="D56" s="18">
        <f>IF(D55,MIN(D54,Parametros!$C$218),0)</f>
        <v>2500000</v>
      </c>
      <c r="E56" s="18">
        <f>IF(E55,MIN(E54,Parametros!$C$218),0)</f>
        <v>2500000</v>
      </c>
      <c r="F56" s="18">
        <f>IF(F55,MIN(F54,Parametros!$C$218),0)</f>
        <v>2500000</v>
      </c>
      <c r="G56" s="18">
        <f>IF(G55,MIN(G54,Parametros!$C$218),0)</f>
        <v>2500000</v>
      </c>
      <c r="H56" s="18">
        <f>IF(H55,MIN(H54,Parametros!$C$218),0)</f>
        <v>2500000</v>
      </c>
      <c r="I56" s="18">
        <f>IF(I55,MIN(I54,Parametros!$C$218),0)</f>
        <v>2500000</v>
      </c>
      <c r="J56" s="18">
        <f>IF(J55,MIN(J54,Parametros!$C$218),0)</f>
        <v>2500000</v>
      </c>
      <c r="K56" s="18">
        <f>IF(K55,MIN(K54,Parametros!$C$218),0)</f>
        <v>2500000</v>
      </c>
    </row>
    <row r="57" spans="1:11">
      <c r="A57" s="14"/>
      <c r="B57" s="200" t="s">
        <v>365</v>
      </c>
      <c r="C57" s="18">
        <f>C54-C56</f>
        <v>0</v>
      </c>
      <c r="D57" s="18">
        <f t="shared" ref="D57:K57" si="18">D54-D56</f>
        <v>21548653.446971476</v>
      </c>
      <c r="E57" s="18">
        <f t="shared" si="18"/>
        <v>29235961.990138888</v>
      </c>
      <c r="F57" s="18">
        <f t="shared" si="18"/>
        <v>28968557.496468782</v>
      </c>
      <c r="G57" s="18">
        <f t="shared" si="18"/>
        <v>28815661.898411393</v>
      </c>
      <c r="H57" s="18">
        <f t="shared" si="18"/>
        <v>27351378.656255007</v>
      </c>
      <c r="I57" s="18">
        <f t="shared" si="18"/>
        <v>28381278.286946416</v>
      </c>
      <c r="J57" s="18">
        <f t="shared" si="18"/>
        <v>27915127.077766001</v>
      </c>
      <c r="K57" s="18">
        <f t="shared" si="18"/>
        <v>27123325.264523149</v>
      </c>
    </row>
    <row r="58" spans="1:11">
      <c r="A58" s="14"/>
      <c r="B58" s="199" t="s">
        <v>540</v>
      </c>
      <c r="C58" s="16" t="b">
        <f>AND(C53,(C57&gt;0))</f>
        <v>0</v>
      </c>
      <c r="D58" s="16" t="b">
        <f t="shared" ref="D58:K58" si="19">AND(D53,(D57&gt;0))</f>
        <v>1</v>
      </c>
      <c r="E58" s="16" t="b">
        <f t="shared" si="19"/>
        <v>1</v>
      </c>
      <c r="F58" s="16" t="b">
        <f t="shared" si="19"/>
        <v>1</v>
      </c>
      <c r="G58" s="16" t="b">
        <f t="shared" si="19"/>
        <v>1</v>
      </c>
      <c r="H58" s="16" t="b">
        <f t="shared" si="19"/>
        <v>1</v>
      </c>
      <c r="I58" s="16" t="b">
        <f t="shared" si="19"/>
        <v>1</v>
      </c>
      <c r="J58" s="16" t="b">
        <f t="shared" si="19"/>
        <v>1</v>
      </c>
      <c r="K58" s="16" t="b">
        <f t="shared" si="19"/>
        <v>1</v>
      </c>
    </row>
    <row r="59" spans="1:11">
      <c r="A59" s="14"/>
      <c r="B59" s="200" t="s">
        <v>366</v>
      </c>
      <c r="C59" s="18">
        <f>IF(C58,MIN(C57,Parametros!$C$220),0)</f>
        <v>0</v>
      </c>
      <c r="D59" s="18">
        <f>IF(D58,MIN(D57,Parametros!$C$220),0)</f>
        <v>8000000</v>
      </c>
      <c r="E59" s="18">
        <f>IF(E58,MIN(E57,Parametros!$C$220),0)</f>
        <v>8000000</v>
      </c>
      <c r="F59" s="18">
        <f>IF(F58,MIN(F57,Parametros!$C$220),0)</f>
        <v>8000000</v>
      </c>
      <c r="G59" s="18">
        <f>IF(G58,MIN(G57,Parametros!$C$220),0)</f>
        <v>8000000</v>
      </c>
      <c r="H59" s="18">
        <f>IF(H58,MIN(H57,Parametros!$C$220),0)</f>
        <v>8000000</v>
      </c>
      <c r="I59" s="18">
        <f>IF(I58,MIN(I57,Parametros!$C$220),0)</f>
        <v>8000000</v>
      </c>
      <c r="J59" s="18">
        <f>IF(J58,MIN(J57,Parametros!$C$220),0)</f>
        <v>8000000</v>
      </c>
      <c r="K59" s="18">
        <f>IF(K58,MIN(K57,Parametros!$C$220),0)</f>
        <v>8000000</v>
      </c>
    </row>
    <row r="60" spans="1:11">
      <c r="A60" s="14"/>
      <c r="B60" s="200" t="s">
        <v>367</v>
      </c>
      <c r="C60" s="18">
        <f>C57-C59</f>
        <v>0</v>
      </c>
      <c r="D60" s="18">
        <f t="shared" ref="D60:K60" si="20">D57-D59</f>
        <v>13548653.446971476</v>
      </c>
      <c r="E60" s="18">
        <f t="shared" si="20"/>
        <v>21235961.990138888</v>
      </c>
      <c r="F60" s="18">
        <f t="shared" si="20"/>
        <v>20968557.496468782</v>
      </c>
      <c r="G60" s="18">
        <f t="shared" si="20"/>
        <v>20815661.898411393</v>
      </c>
      <c r="H60" s="18">
        <f t="shared" si="20"/>
        <v>19351378.656255007</v>
      </c>
      <c r="I60" s="18">
        <f t="shared" si="20"/>
        <v>20381278.286946416</v>
      </c>
      <c r="J60" s="18">
        <f t="shared" si="20"/>
        <v>19915127.077766001</v>
      </c>
      <c r="K60" s="18">
        <f t="shared" si="20"/>
        <v>19123325.264523149</v>
      </c>
    </row>
    <row r="61" spans="1:11">
      <c r="A61" s="14"/>
      <c r="B61" s="199" t="s">
        <v>368</v>
      </c>
      <c r="C61" s="16" t="b">
        <f>AND(C53,(C60&gt;0))</f>
        <v>0</v>
      </c>
      <c r="D61" s="16" t="b">
        <f t="shared" ref="D61:K61" si="21">AND(D53,(D60&gt;0))</f>
        <v>1</v>
      </c>
      <c r="E61" s="16" t="b">
        <f t="shared" si="21"/>
        <v>1</v>
      </c>
      <c r="F61" s="16" t="b">
        <f t="shared" si="21"/>
        <v>1</v>
      </c>
      <c r="G61" s="16" t="b">
        <f t="shared" si="21"/>
        <v>1</v>
      </c>
      <c r="H61" s="16" t="b">
        <f t="shared" si="21"/>
        <v>1</v>
      </c>
      <c r="I61" s="16" t="b">
        <f t="shared" si="21"/>
        <v>1</v>
      </c>
      <c r="J61" s="16" t="b">
        <f t="shared" si="21"/>
        <v>1</v>
      </c>
      <c r="K61" s="16" t="b">
        <f t="shared" si="21"/>
        <v>1</v>
      </c>
    </row>
    <row r="62" spans="1:11">
      <c r="A62" s="14"/>
      <c r="B62" s="200" t="s">
        <v>369</v>
      </c>
      <c r="C62" s="18">
        <f t="shared" ref="C62:K62" si="22">IF(C61,MIN(C60,C116),0)</f>
        <v>0</v>
      </c>
      <c r="D62" s="18">
        <f t="shared" si="22"/>
        <v>9835249.3573135138</v>
      </c>
      <c r="E62" s="18">
        <f t="shared" si="22"/>
        <v>0</v>
      </c>
      <c r="F62" s="18">
        <f t="shared" si="22"/>
        <v>0</v>
      </c>
      <c r="G62" s="18">
        <f t="shared" si="22"/>
        <v>0</v>
      </c>
      <c r="H62" s="18">
        <f t="shared" si="22"/>
        <v>0</v>
      </c>
      <c r="I62" s="18">
        <f t="shared" si="22"/>
        <v>0</v>
      </c>
      <c r="J62" s="18">
        <f t="shared" si="22"/>
        <v>0</v>
      </c>
      <c r="K62" s="18">
        <f t="shared" si="22"/>
        <v>0</v>
      </c>
    </row>
    <row r="63" spans="1:11">
      <c r="A63" s="14"/>
      <c r="B63" s="200" t="s">
        <v>370</v>
      </c>
      <c r="C63" s="18">
        <f>C60-C62</f>
        <v>0</v>
      </c>
      <c r="D63" s="18">
        <f t="shared" ref="D63:K63" si="23">D60-D62</f>
        <v>3713404.0896579623</v>
      </c>
      <c r="E63" s="18">
        <f t="shared" si="23"/>
        <v>21235961.990138888</v>
      </c>
      <c r="F63" s="18">
        <f t="shared" si="23"/>
        <v>20968557.496468782</v>
      </c>
      <c r="G63" s="18">
        <f t="shared" si="23"/>
        <v>20815661.898411393</v>
      </c>
      <c r="H63" s="18">
        <f t="shared" si="23"/>
        <v>19351378.656255007</v>
      </c>
      <c r="I63" s="18">
        <f t="shared" si="23"/>
        <v>20381278.286946416</v>
      </c>
      <c r="J63" s="18">
        <f t="shared" si="23"/>
        <v>19915127.077766001</v>
      </c>
      <c r="K63" s="18">
        <f t="shared" si="23"/>
        <v>19123325.264523149</v>
      </c>
    </row>
    <row r="64" spans="1:11">
      <c r="A64" s="14"/>
      <c r="B64" s="199" t="s">
        <v>537</v>
      </c>
      <c r="C64" s="16" t="b">
        <f>AND(C53,(C63&gt;0))</f>
        <v>0</v>
      </c>
      <c r="D64" s="16" t="b">
        <f t="shared" ref="D64:K64" si="24">AND(D53,(D63&gt;0))</f>
        <v>1</v>
      </c>
      <c r="E64" s="16" t="b">
        <f t="shared" si="24"/>
        <v>1</v>
      </c>
      <c r="F64" s="16" t="b">
        <f t="shared" si="24"/>
        <v>1</v>
      </c>
      <c r="G64" s="16" t="b">
        <f t="shared" si="24"/>
        <v>1</v>
      </c>
      <c r="H64" s="16" t="b">
        <f t="shared" si="24"/>
        <v>1</v>
      </c>
      <c r="I64" s="16" t="b">
        <f t="shared" si="24"/>
        <v>1</v>
      </c>
      <c r="J64" s="16" t="b">
        <f t="shared" si="24"/>
        <v>1</v>
      </c>
      <c r="K64" s="16" t="b">
        <f t="shared" si="24"/>
        <v>1</v>
      </c>
    </row>
    <row r="65" spans="1:11">
      <c r="A65" s="14"/>
      <c r="B65" s="200" t="s">
        <v>538</v>
      </c>
      <c r="C65" s="18">
        <f>C63</f>
        <v>0</v>
      </c>
      <c r="D65" s="18">
        <f t="shared" ref="D65:K65" si="25">D63</f>
        <v>3713404.0896579623</v>
      </c>
      <c r="E65" s="18">
        <f t="shared" si="25"/>
        <v>21235961.990138888</v>
      </c>
      <c r="F65" s="18">
        <f t="shared" si="25"/>
        <v>20968557.496468782</v>
      </c>
      <c r="G65" s="18">
        <f t="shared" si="25"/>
        <v>20815661.898411393</v>
      </c>
      <c r="H65" s="18">
        <f t="shared" si="25"/>
        <v>19351378.656255007</v>
      </c>
      <c r="I65" s="18">
        <f t="shared" si="25"/>
        <v>20381278.286946416</v>
      </c>
      <c r="J65" s="18">
        <f t="shared" si="25"/>
        <v>19915127.077766001</v>
      </c>
      <c r="K65" s="18">
        <f t="shared" si="25"/>
        <v>19123325.264523149</v>
      </c>
    </row>
    <row r="66" spans="1:11">
      <c r="A66" s="14"/>
      <c r="B66" s="200" t="s">
        <v>539</v>
      </c>
      <c r="C66" s="18">
        <f>C63-C65</f>
        <v>0</v>
      </c>
      <c r="D66" s="18">
        <f t="shared" ref="D66:K66" si="26">D63-D65</f>
        <v>0</v>
      </c>
      <c r="E66" s="18">
        <f t="shared" si="26"/>
        <v>0</v>
      </c>
      <c r="F66" s="18">
        <f t="shared" si="26"/>
        <v>0</v>
      </c>
      <c r="G66" s="18">
        <f t="shared" si="26"/>
        <v>0</v>
      </c>
      <c r="H66" s="18">
        <f t="shared" si="26"/>
        <v>0</v>
      </c>
      <c r="I66" s="18">
        <f t="shared" si="26"/>
        <v>0</v>
      </c>
      <c r="J66" s="18">
        <f t="shared" si="26"/>
        <v>0</v>
      </c>
      <c r="K66" s="18">
        <f t="shared" si="26"/>
        <v>0</v>
      </c>
    </row>
    <row r="67" spans="1:11">
      <c r="A67" s="14"/>
    </row>
    <row r="68" spans="1:11">
      <c r="A68" s="14"/>
    </row>
    <row r="69" spans="1:11" ht="18">
      <c r="A69" s="14"/>
      <c r="B69" s="106" t="s">
        <v>371</v>
      </c>
      <c r="C69" s="106">
        <v>2013</v>
      </c>
      <c r="D69" s="106">
        <v>2014</v>
      </c>
      <c r="E69" s="106">
        <v>2015</v>
      </c>
      <c r="F69" s="106">
        <v>2016</v>
      </c>
      <c r="G69" s="106">
        <v>2017</v>
      </c>
      <c r="H69" s="106">
        <v>2018</v>
      </c>
      <c r="I69" s="106">
        <v>2019</v>
      </c>
      <c r="J69" s="106">
        <v>2020</v>
      </c>
      <c r="K69" s="106">
        <v>2021</v>
      </c>
    </row>
    <row r="70" spans="1:11">
      <c r="A70" s="14"/>
      <c r="B70" s="197" t="s">
        <v>372</v>
      </c>
      <c r="C70" s="105" t="b">
        <f>C46&gt;Parametros!$C$217</f>
        <v>1</v>
      </c>
      <c r="D70" s="105" t="b">
        <f>D46&gt;Parametros!$C$217</f>
        <v>0</v>
      </c>
      <c r="E70" s="105" t="b">
        <f>E46&gt;Parametros!$C$217</f>
        <v>0</v>
      </c>
      <c r="F70" s="105" t="b">
        <f>F46&gt;Parametros!$C$217</f>
        <v>0</v>
      </c>
      <c r="G70" s="105" t="b">
        <f>G46&gt;Parametros!$C$217</f>
        <v>0</v>
      </c>
      <c r="H70" s="105" t="b">
        <f>H46&gt;Parametros!$C$217</f>
        <v>0</v>
      </c>
      <c r="I70" s="105" t="b">
        <f>I46&gt;Parametros!$C$217</f>
        <v>0</v>
      </c>
      <c r="J70" s="105" t="b">
        <f>J46&gt;Parametros!$C$217</f>
        <v>0</v>
      </c>
      <c r="K70" s="105" t="b">
        <f>K46&gt;Parametros!$C$217</f>
        <v>0</v>
      </c>
    </row>
    <row r="71" spans="1:11">
      <c r="A71" s="14"/>
      <c r="B71" s="198" t="s">
        <v>542</v>
      </c>
      <c r="C71" s="18">
        <f>IF(C70,C46-Parametros!$C$217,0)</f>
        <v>23997421.357313514</v>
      </c>
      <c r="D71" s="18">
        <f>IF(D70,D46-Parametros!$C$217,0)</f>
        <v>0</v>
      </c>
      <c r="E71" s="18">
        <f>IF(E70,E46-Parametros!$C$217,0)</f>
        <v>0</v>
      </c>
      <c r="F71" s="18">
        <f>IF(F70,F46-Parametros!$C$217,0)</f>
        <v>0</v>
      </c>
      <c r="G71" s="18">
        <f>IF(G70,G46-Parametros!$C$217,0)</f>
        <v>0</v>
      </c>
      <c r="H71" s="18">
        <f>IF(H70,H46-Parametros!$C$217,0)</f>
        <v>0</v>
      </c>
      <c r="I71" s="18">
        <f>IF(I70,I46-Parametros!$C$217,0)</f>
        <v>0</v>
      </c>
      <c r="J71" s="18">
        <f>IF(J70,J46-Parametros!$C$217,0)</f>
        <v>0</v>
      </c>
      <c r="K71" s="18">
        <f>IF(K70,K46-Parametros!$C$217,0)</f>
        <v>0</v>
      </c>
    </row>
    <row r="72" spans="1:11">
      <c r="A72" s="14"/>
      <c r="B72" s="252" t="s">
        <v>541</v>
      </c>
      <c r="C72" s="253">
        <f>IF(C70,C46-Parametros!$C$216,0)</f>
        <v>28997421.357313514</v>
      </c>
      <c r="D72" s="253">
        <f>IF(D70,D46-Parametros!$C$216,0)</f>
        <v>0</v>
      </c>
      <c r="E72" s="253">
        <f>IF(E70,E46-Parametros!$C$216,0)</f>
        <v>0</v>
      </c>
      <c r="F72" s="253">
        <f>IF(F70,F46-Parametros!$C$216,0)</f>
        <v>0</v>
      </c>
      <c r="G72" s="253">
        <f>IF(G70,G46-Parametros!$C$216,0)</f>
        <v>0</v>
      </c>
      <c r="H72" s="253">
        <f>IF(H70,H46-Parametros!$C$216,0)</f>
        <v>0</v>
      </c>
      <c r="I72" s="253">
        <f>IF(I70,I46-Parametros!$C$216,0)</f>
        <v>0</v>
      </c>
      <c r="J72" s="253">
        <f>IF(J70,J46-Parametros!$C$216,0)</f>
        <v>0</v>
      </c>
      <c r="K72" s="253">
        <f>IF(K70,K46-Parametros!$C$216,0)</f>
        <v>0</v>
      </c>
    </row>
    <row r="73" spans="1:11">
      <c r="A73" s="14"/>
      <c r="B73" s="197" t="s">
        <v>373</v>
      </c>
      <c r="C73" s="18" t="b">
        <f>AND(C70,(C71&gt;0))</f>
        <v>1</v>
      </c>
      <c r="D73" s="18" t="b">
        <f t="shared" ref="D73:K73" si="27">AND(D70,(D71&gt;0))</f>
        <v>0</v>
      </c>
      <c r="E73" s="18" t="b">
        <f t="shared" si="27"/>
        <v>0</v>
      </c>
      <c r="F73" s="18" t="b">
        <f t="shared" si="27"/>
        <v>0</v>
      </c>
      <c r="G73" s="18" t="b">
        <f t="shared" si="27"/>
        <v>0</v>
      </c>
      <c r="H73" s="18" t="b">
        <f t="shared" si="27"/>
        <v>0</v>
      </c>
      <c r="I73" s="18" t="b">
        <f t="shared" si="27"/>
        <v>0</v>
      </c>
      <c r="J73" s="18" t="b">
        <f t="shared" si="27"/>
        <v>0</v>
      </c>
      <c r="K73" s="18" t="b">
        <f t="shared" si="27"/>
        <v>0</v>
      </c>
    </row>
    <row r="74" spans="1:11">
      <c r="A74" s="14"/>
      <c r="B74" s="200" t="s">
        <v>374</v>
      </c>
      <c r="C74" s="18">
        <f t="shared" ref="C74:K74" si="28">IF(C73,MIN(C72,C105),0)</f>
        <v>0</v>
      </c>
      <c r="D74" s="18">
        <f t="shared" si="28"/>
        <v>0</v>
      </c>
      <c r="E74" s="18">
        <f t="shared" si="28"/>
        <v>0</v>
      </c>
      <c r="F74" s="18">
        <f t="shared" si="28"/>
        <v>0</v>
      </c>
      <c r="G74" s="18">
        <f t="shared" si="28"/>
        <v>0</v>
      </c>
      <c r="H74" s="18">
        <f t="shared" si="28"/>
        <v>0</v>
      </c>
      <c r="I74" s="18">
        <f t="shared" si="28"/>
        <v>0</v>
      </c>
      <c r="J74" s="18">
        <f t="shared" si="28"/>
        <v>0</v>
      </c>
      <c r="K74" s="18">
        <f t="shared" si="28"/>
        <v>0</v>
      </c>
    </row>
    <row r="75" spans="1:11">
      <c r="A75" s="14"/>
      <c r="B75" s="200" t="s">
        <v>375</v>
      </c>
      <c r="C75" s="18">
        <f>IF(C72&gt;C74,MAX(C71-C74,0),0)</f>
        <v>23997421.357313514</v>
      </c>
      <c r="D75" s="18">
        <f t="shared" ref="D75:K75" si="29">IF(D72&gt;D74,MAX(D71-D74,0),0)</f>
        <v>0</v>
      </c>
      <c r="E75" s="18">
        <f t="shared" si="29"/>
        <v>0</v>
      </c>
      <c r="F75" s="18">
        <f t="shared" si="29"/>
        <v>0</v>
      </c>
      <c r="G75" s="18">
        <f t="shared" si="29"/>
        <v>0</v>
      </c>
      <c r="H75" s="18">
        <f t="shared" si="29"/>
        <v>0</v>
      </c>
      <c r="I75" s="18">
        <f t="shared" si="29"/>
        <v>0</v>
      </c>
      <c r="J75" s="18">
        <f t="shared" si="29"/>
        <v>0</v>
      </c>
      <c r="K75" s="18">
        <f t="shared" si="29"/>
        <v>0</v>
      </c>
    </row>
    <row r="76" spans="1:11">
      <c r="A76" s="14"/>
      <c r="B76" s="200" t="s">
        <v>548</v>
      </c>
      <c r="C76" s="16">
        <f>IF(C72&gt;C74,C72-C74,0)</f>
        <v>28997421.357313514</v>
      </c>
      <c r="D76" s="16">
        <f t="shared" ref="D76:K76" si="30">IF(D72&gt;D74,D72-D74,0)</f>
        <v>0</v>
      </c>
      <c r="E76" s="16">
        <f t="shared" si="30"/>
        <v>0</v>
      </c>
      <c r="F76" s="16">
        <f t="shared" si="30"/>
        <v>0</v>
      </c>
      <c r="G76" s="16">
        <f t="shared" si="30"/>
        <v>0</v>
      </c>
      <c r="H76" s="16">
        <f t="shared" si="30"/>
        <v>0</v>
      </c>
      <c r="I76" s="16">
        <f t="shared" si="30"/>
        <v>0</v>
      </c>
      <c r="J76" s="16">
        <f t="shared" si="30"/>
        <v>0</v>
      </c>
      <c r="K76" s="16">
        <f t="shared" si="30"/>
        <v>0</v>
      </c>
    </row>
    <row r="77" spans="1:11">
      <c r="A77" s="14"/>
      <c r="B77" s="197" t="s">
        <v>376</v>
      </c>
      <c r="C77" s="16" t="b">
        <f>AND(C75&gt;0,C111&gt;0)</f>
        <v>1</v>
      </c>
      <c r="D77" s="16" t="b">
        <f t="shared" ref="D77:K77" si="31">AND(D75&gt;0,D111&gt;0)</f>
        <v>0</v>
      </c>
      <c r="E77" s="16" t="b">
        <f t="shared" si="31"/>
        <v>0</v>
      </c>
      <c r="F77" s="16" t="b">
        <f t="shared" si="31"/>
        <v>0</v>
      </c>
      <c r="G77" s="16" t="b">
        <f t="shared" si="31"/>
        <v>0</v>
      </c>
      <c r="H77" s="16" t="b">
        <f t="shared" si="31"/>
        <v>0</v>
      </c>
      <c r="I77" s="16" t="b">
        <f t="shared" si="31"/>
        <v>0</v>
      </c>
      <c r="J77" s="16" t="b">
        <f t="shared" si="31"/>
        <v>0</v>
      </c>
      <c r="K77" s="16" t="b">
        <f t="shared" si="31"/>
        <v>0</v>
      </c>
    </row>
    <row r="78" spans="1:11">
      <c r="A78" s="14"/>
      <c r="B78" s="200" t="s">
        <v>377</v>
      </c>
      <c r="C78" s="16">
        <f>IF(C77,MIN(C76,C111),0)</f>
        <v>15000000</v>
      </c>
      <c r="D78" s="16">
        <f t="shared" ref="D78:K78" si="32">IF(D77,MIN(D76,D111),0)</f>
        <v>0</v>
      </c>
      <c r="E78" s="16">
        <f t="shared" si="32"/>
        <v>0</v>
      </c>
      <c r="F78" s="16">
        <f t="shared" si="32"/>
        <v>0</v>
      </c>
      <c r="G78" s="16">
        <f t="shared" si="32"/>
        <v>0</v>
      </c>
      <c r="H78" s="16">
        <f t="shared" si="32"/>
        <v>0</v>
      </c>
      <c r="I78" s="16">
        <f t="shared" si="32"/>
        <v>0</v>
      </c>
      <c r="J78" s="16">
        <f t="shared" si="32"/>
        <v>0</v>
      </c>
      <c r="K78" s="16">
        <f t="shared" si="32"/>
        <v>0</v>
      </c>
    </row>
    <row r="79" spans="1:11">
      <c r="A79" s="14"/>
      <c r="B79" s="200" t="s">
        <v>550</v>
      </c>
      <c r="C79" s="18">
        <f>IF(C76&gt;C78,C76-C78,0)</f>
        <v>13997421.357313514</v>
      </c>
      <c r="D79" s="18">
        <f t="shared" ref="D79:K79" si="33">IF(D76&gt;D78,D76-D78,0)</f>
        <v>0</v>
      </c>
      <c r="E79" s="18">
        <f t="shared" si="33"/>
        <v>0</v>
      </c>
      <c r="F79" s="18">
        <f t="shared" si="33"/>
        <v>0</v>
      </c>
      <c r="G79" s="18">
        <f t="shared" si="33"/>
        <v>0</v>
      </c>
      <c r="H79" s="18">
        <f t="shared" si="33"/>
        <v>0</v>
      </c>
      <c r="I79" s="18">
        <f t="shared" si="33"/>
        <v>0</v>
      </c>
      <c r="J79" s="18">
        <f t="shared" si="33"/>
        <v>0</v>
      </c>
      <c r="K79" s="18">
        <f t="shared" si="33"/>
        <v>0</v>
      </c>
    </row>
    <row r="80" spans="1:11">
      <c r="A80" s="14"/>
      <c r="B80" s="255" t="s">
        <v>378</v>
      </c>
      <c r="C80" s="253">
        <f>IF(C76&gt;C78,MAX(C75-C78,0),0)</f>
        <v>8997421.3573135138</v>
      </c>
      <c r="D80" s="253">
        <f t="shared" ref="D80:K80" si="34">IF(D76&gt;D78,MAX(D75-D78,0),0)</f>
        <v>0</v>
      </c>
      <c r="E80" s="253">
        <f t="shared" si="34"/>
        <v>0</v>
      </c>
      <c r="F80" s="253">
        <f t="shared" si="34"/>
        <v>0</v>
      </c>
      <c r="G80" s="253">
        <f t="shared" si="34"/>
        <v>0</v>
      </c>
      <c r="H80" s="253">
        <f t="shared" si="34"/>
        <v>0</v>
      </c>
      <c r="I80" s="253">
        <f t="shared" si="34"/>
        <v>0</v>
      </c>
      <c r="J80" s="253">
        <f t="shared" si="34"/>
        <v>0</v>
      </c>
      <c r="K80" s="253">
        <f t="shared" si="34"/>
        <v>0</v>
      </c>
    </row>
    <row r="81" spans="1:11">
      <c r="A81" s="14"/>
      <c r="B81" s="197" t="s">
        <v>379</v>
      </c>
      <c r="C81" s="16" t="b">
        <f>C80&gt;0</f>
        <v>1</v>
      </c>
      <c r="D81" s="16" t="b">
        <f t="shared" ref="D81:K81" si="35">D80&gt;0</f>
        <v>0</v>
      </c>
      <c r="E81" s="16" t="b">
        <f t="shared" si="35"/>
        <v>0</v>
      </c>
      <c r="F81" s="16" t="b">
        <f t="shared" si="35"/>
        <v>0</v>
      </c>
      <c r="G81" s="16" t="b">
        <f t="shared" si="35"/>
        <v>0</v>
      </c>
      <c r="H81" s="16" t="b">
        <f t="shared" si="35"/>
        <v>0</v>
      </c>
      <c r="I81" s="16" t="b">
        <f t="shared" si="35"/>
        <v>0</v>
      </c>
      <c r="J81" s="16" t="b">
        <f t="shared" si="35"/>
        <v>0</v>
      </c>
      <c r="K81" s="16" t="b">
        <f t="shared" si="35"/>
        <v>0</v>
      </c>
    </row>
    <row r="82" spans="1:11">
      <c r="A82" s="14"/>
      <c r="B82" s="200" t="s">
        <v>380</v>
      </c>
      <c r="C82" s="16">
        <f>IF(C81,C80,0)</f>
        <v>8997421.3573135138</v>
      </c>
      <c r="D82" s="16">
        <f t="shared" ref="D82:K82" si="36">IF(D81,D79,0)</f>
        <v>0</v>
      </c>
      <c r="E82" s="16">
        <f t="shared" si="36"/>
        <v>0</v>
      </c>
      <c r="F82" s="16">
        <f t="shared" si="36"/>
        <v>0</v>
      </c>
      <c r="G82" s="16">
        <f t="shared" si="36"/>
        <v>0</v>
      </c>
      <c r="H82" s="16">
        <f t="shared" si="36"/>
        <v>0</v>
      </c>
      <c r="I82" s="16">
        <f t="shared" si="36"/>
        <v>0</v>
      </c>
      <c r="J82" s="16">
        <f t="shared" si="36"/>
        <v>0</v>
      </c>
      <c r="K82" s="16">
        <f t="shared" si="36"/>
        <v>0</v>
      </c>
    </row>
    <row r="83" spans="1:11">
      <c r="A83" s="14"/>
      <c r="B83" s="200" t="s">
        <v>551</v>
      </c>
      <c r="C83" s="18">
        <f>C79</f>
        <v>13997421.357313514</v>
      </c>
      <c r="D83" s="18">
        <f t="shared" ref="D83:K83" si="37">D79-D82</f>
        <v>0</v>
      </c>
      <c r="E83" s="18">
        <f t="shared" si="37"/>
        <v>0</v>
      </c>
      <c r="F83" s="18">
        <f t="shared" si="37"/>
        <v>0</v>
      </c>
      <c r="G83" s="18">
        <f t="shared" si="37"/>
        <v>0</v>
      </c>
      <c r="H83" s="18">
        <f t="shared" si="37"/>
        <v>0</v>
      </c>
      <c r="I83" s="18">
        <f t="shared" si="37"/>
        <v>0</v>
      </c>
      <c r="J83" s="18">
        <f t="shared" si="37"/>
        <v>0</v>
      </c>
      <c r="K83" s="18">
        <f t="shared" si="37"/>
        <v>0</v>
      </c>
    </row>
    <row r="84" spans="1:11">
      <c r="A84" s="14"/>
      <c r="B84" s="255" t="s">
        <v>381</v>
      </c>
      <c r="C84" s="253">
        <f>IF(C81,C80-C82,0)</f>
        <v>0</v>
      </c>
      <c r="D84" s="253">
        <f t="shared" ref="D84:K84" si="38">IF(D81,D80-D82,0)</f>
        <v>0</v>
      </c>
      <c r="E84" s="253">
        <f t="shared" si="38"/>
        <v>0</v>
      </c>
      <c r="F84" s="253">
        <f t="shared" si="38"/>
        <v>0</v>
      </c>
      <c r="G84" s="253">
        <f t="shared" si="38"/>
        <v>0</v>
      </c>
      <c r="H84" s="253">
        <f t="shared" si="38"/>
        <v>0</v>
      </c>
      <c r="I84" s="253">
        <f t="shared" si="38"/>
        <v>0</v>
      </c>
      <c r="J84" s="253">
        <f t="shared" si="38"/>
        <v>0</v>
      </c>
      <c r="K84" s="253">
        <f t="shared" si="38"/>
        <v>0</v>
      </c>
    </row>
    <row r="85" spans="1:11">
      <c r="A85" s="14"/>
      <c r="C85" s="59"/>
      <c r="D85" s="59"/>
      <c r="E85" s="59"/>
      <c r="F85" s="59"/>
      <c r="G85" s="59"/>
      <c r="H85" s="59"/>
      <c r="I85" s="59"/>
      <c r="J85" s="59"/>
      <c r="K85" s="59"/>
    </row>
    <row r="86" spans="1:11">
      <c r="A86" s="14"/>
      <c r="C86" s="59"/>
      <c r="D86" s="59"/>
      <c r="E86" s="59"/>
      <c r="F86" s="59"/>
      <c r="G86" s="59"/>
      <c r="H86" s="59"/>
      <c r="I86" s="59"/>
      <c r="J86" s="59"/>
      <c r="K86" s="59"/>
    </row>
    <row r="87" spans="1:11" ht="18">
      <c r="A87" s="14"/>
      <c r="B87" s="106" t="s">
        <v>543</v>
      </c>
      <c r="C87" s="106">
        <v>2013</v>
      </c>
      <c r="D87" s="106">
        <v>2014</v>
      </c>
      <c r="E87" s="106">
        <v>2015</v>
      </c>
      <c r="F87" s="106">
        <v>2016</v>
      </c>
      <c r="G87" s="106">
        <v>2017</v>
      </c>
      <c r="H87" s="106">
        <v>2018</v>
      </c>
      <c r="I87" s="106">
        <v>2019</v>
      </c>
      <c r="J87" s="106">
        <v>2020</v>
      </c>
      <c r="K87" s="106">
        <v>2021</v>
      </c>
    </row>
    <row r="88" spans="1:11">
      <c r="A88" s="14"/>
      <c r="B88" s="254" t="s">
        <v>544</v>
      </c>
      <c r="C88" s="253" t="b">
        <f>AND(C46&gt;=Parametros!$C$216,C46&lt;=Parametros!$C$217)</f>
        <v>0</v>
      </c>
      <c r="D88" s="253" t="b">
        <f>AND(D46&gt;=Parametros!$C$216,D46&lt;=Parametros!$C$217)</f>
        <v>0</v>
      </c>
      <c r="E88" s="253" t="b">
        <f>AND(E46&gt;=Parametros!$C$216,E46&lt;=Parametros!$C$217)</f>
        <v>0</v>
      </c>
      <c r="F88" s="253" t="b">
        <f>AND(F46&gt;=Parametros!$C$216,F46&lt;=Parametros!$C$217)</f>
        <v>0</v>
      </c>
      <c r="G88" s="253" t="b">
        <f>AND(G46&gt;=Parametros!$C$216,G46&lt;=Parametros!$C$217)</f>
        <v>0</v>
      </c>
      <c r="H88" s="253" t="b">
        <f>AND(H46&gt;=Parametros!$C$216,H46&lt;=Parametros!$C$217)</f>
        <v>0</v>
      </c>
      <c r="I88" s="253" t="b">
        <f>AND(I46&gt;=Parametros!$C$216,I46&lt;=Parametros!$C$217)</f>
        <v>0</v>
      </c>
      <c r="J88" s="253" t="b">
        <f>AND(J46&gt;=Parametros!$C$216,J46&lt;=Parametros!$C$217)</f>
        <v>0</v>
      </c>
      <c r="K88" s="253" t="b">
        <f>AND(K46&gt;=Parametros!$C$216,K46&lt;=Parametros!$C$217)</f>
        <v>0</v>
      </c>
    </row>
    <row r="89" spans="1:11">
      <c r="A89" s="14"/>
      <c r="B89" s="252" t="s">
        <v>545</v>
      </c>
      <c r="C89" s="253">
        <f>IF(C88,C46-Parametros!$C$216,0)</f>
        <v>0</v>
      </c>
      <c r="D89" s="253">
        <f>IF(D88,D46-Parametros!$C$216,0)</f>
        <v>0</v>
      </c>
      <c r="E89" s="253">
        <f>IF(E88,E46-Parametros!$C$216,0)</f>
        <v>0</v>
      </c>
      <c r="F89" s="253">
        <f>IF(F88,F46-Parametros!$C$216,0)</f>
        <v>0</v>
      </c>
      <c r="G89" s="253">
        <f>IF(G88,G46-Parametros!$C$216,0)</f>
        <v>0</v>
      </c>
      <c r="H89" s="253">
        <f>IF(H88,H46-Parametros!$C$216,0)</f>
        <v>0</v>
      </c>
      <c r="I89" s="253">
        <f>IF(I88,I46-Parametros!$C$216,0)</f>
        <v>0</v>
      </c>
      <c r="J89" s="253">
        <f>IF(J88,J46-Parametros!$C$216,0)</f>
        <v>0</v>
      </c>
      <c r="K89" s="253">
        <f>IF(K88,K46-Parametros!$C$216,0)</f>
        <v>0</v>
      </c>
    </row>
    <row r="90" spans="1:11">
      <c r="A90" s="14"/>
      <c r="B90" s="254" t="s">
        <v>546</v>
      </c>
      <c r="C90" s="253" t="b">
        <f>AND(C88,C99&gt;0)</f>
        <v>0</v>
      </c>
      <c r="D90" s="253" t="b">
        <f t="shared" ref="D90:K90" si="39">AND(D88,D99&gt;0)</f>
        <v>0</v>
      </c>
      <c r="E90" s="253" t="b">
        <f t="shared" si="39"/>
        <v>0</v>
      </c>
      <c r="F90" s="253" t="b">
        <f t="shared" si="39"/>
        <v>0</v>
      </c>
      <c r="G90" s="253" t="b">
        <f t="shared" si="39"/>
        <v>0</v>
      </c>
      <c r="H90" s="253" t="b">
        <f t="shared" si="39"/>
        <v>0</v>
      </c>
      <c r="I90" s="253" t="b">
        <f t="shared" si="39"/>
        <v>0</v>
      </c>
      <c r="J90" s="253" t="b">
        <f t="shared" si="39"/>
        <v>0</v>
      </c>
      <c r="K90" s="253" t="b">
        <f t="shared" si="39"/>
        <v>0</v>
      </c>
    </row>
    <row r="91" spans="1:11">
      <c r="A91" s="14"/>
      <c r="B91" s="255" t="s">
        <v>547</v>
      </c>
      <c r="C91" s="253">
        <f>IF(C90,MIN(C105,C89),0)</f>
        <v>0</v>
      </c>
      <c r="D91" s="253">
        <f t="shared" ref="D91:K91" si="40">IF(D90,MIN(D105,D89),0)</f>
        <v>0</v>
      </c>
      <c r="E91" s="253">
        <f t="shared" si="40"/>
        <v>0</v>
      </c>
      <c r="F91" s="253">
        <f t="shared" si="40"/>
        <v>0</v>
      </c>
      <c r="G91" s="253">
        <f t="shared" si="40"/>
        <v>0</v>
      </c>
      <c r="H91" s="253">
        <f t="shared" si="40"/>
        <v>0</v>
      </c>
      <c r="I91" s="253">
        <f t="shared" si="40"/>
        <v>0</v>
      </c>
      <c r="J91" s="253">
        <f t="shared" si="40"/>
        <v>0</v>
      </c>
      <c r="K91" s="253">
        <f t="shared" si="40"/>
        <v>0</v>
      </c>
    </row>
    <row r="92" spans="1:11">
      <c r="A92" s="14"/>
      <c r="B92" s="255" t="s">
        <v>548</v>
      </c>
      <c r="C92" s="253">
        <f>IF(C89&gt;C91,C89-C91,0)</f>
        <v>0</v>
      </c>
      <c r="D92" s="253">
        <f t="shared" ref="D92:K92" si="41">IF(D89&gt;D91,D89-D91,0)</f>
        <v>0</v>
      </c>
      <c r="E92" s="253">
        <f t="shared" si="41"/>
        <v>0</v>
      </c>
      <c r="F92" s="253">
        <f t="shared" si="41"/>
        <v>0</v>
      </c>
      <c r="G92" s="253">
        <f t="shared" si="41"/>
        <v>0</v>
      </c>
      <c r="H92" s="253">
        <f t="shared" si="41"/>
        <v>0</v>
      </c>
      <c r="I92" s="253">
        <f t="shared" si="41"/>
        <v>0</v>
      </c>
      <c r="J92" s="253">
        <f t="shared" si="41"/>
        <v>0</v>
      </c>
      <c r="K92" s="253">
        <f t="shared" si="41"/>
        <v>0</v>
      </c>
    </row>
    <row r="93" spans="1:11">
      <c r="A93" s="14"/>
      <c r="B93" s="256" t="s">
        <v>549</v>
      </c>
      <c r="C93" s="253" t="b">
        <f>AND(C92&gt;0,C111&gt;0)</f>
        <v>0</v>
      </c>
      <c r="D93" s="253" t="b">
        <f t="shared" ref="D93:K93" si="42">AND(D92&gt;0,D111&gt;0)</f>
        <v>0</v>
      </c>
      <c r="E93" s="253" t="b">
        <f t="shared" si="42"/>
        <v>0</v>
      </c>
      <c r="F93" s="253" t="b">
        <f t="shared" si="42"/>
        <v>0</v>
      </c>
      <c r="G93" s="253" t="b">
        <f t="shared" si="42"/>
        <v>0</v>
      </c>
      <c r="H93" s="253" t="b">
        <f t="shared" si="42"/>
        <v>0</v>
      </c>
      <c r="I93" s="253" t="b">
        <f t="shared" si="42"/>
        <v>0</v>
      </c>
      <c r="J93" s="253" t="b">
        <f t="shared" si="42"/>
        <v>0</v>
      </c>
      <c r="K93" s="253" t="b">
        <f t="shared" si="42"/>
        <v>0</v>
      </c>
    </row>
    <row r="94" spans="1:11">
      <c r="A94" s="14"/>
      <c r="B94" s="257" t="s">
        <v>248</v>
      </c>
      <c r="C94" s="253">
        <f>IF(C93,MIN(C92,C111),0)</f>
        <v>0</v>
      </c>
      <c r="D94" s="253">
        <f t="shared" ref="D94:K94" si="43">IF(D93,MIN(D92,D111),0)</f>
        <v>0</v>
      </c>
      <c r="E94" s="253">
        <f t="shared" si="43"/>
        <v>0</v>
      </c>
      <c r="F94" s="253">
        <f t="shared" si="43"/>
        <v>0</v>
      </c>
      <c r="G94" s="253">
        <f t="shared" si="43"/>
        <v>0</v>
      </c>
      <c r="H94" s="253">
        <f t="shared" si="43"/>
        <v>0</v>
      </c>
      <c r="I94" s="253">
        <f t="shared" si="43"/>
        <v>0</v>
      </c>
      <c r="J94" s="253">
        <f t="shared" si="43"/>
        <v>0</v>
      </c>
      <c r="K94" s="253">
        <f t="shared" si="43"/>
        <v>0</v>
      </c>
    </row>
    <row r="95" spans="1:11">
      <c r="A95" s="14"/>
      <c r="B95" s="257" t="s">
        <v>550</v>
      </c>
      <c r="C95" s="253">
        <f>IF(C92&gt;C94,C92-C94,0)</f>
        <v>0</v>
      </c>
      <c r="D95" s="253">
        <f t="shared" ref="D95:K95" si="44">IF(D92&gt;D94,D92-D94,0)</f>
        <v>0</v>
      </c>
      <c r="E95" s="253">
        <f t="shared" si="44"/>
        <v>0</v>
      </c>
      <c r="F95" s="253">
        <f t="shared" si="44"/>
        <v>0</v>
      </c>
      <c r="G95" s="253">
        <f t="shared" si="44"/>
        <v>0</v>
      </c>
      <c r="H95" s="253">
        <f t="shared" si="44"/>
        <v>0</v>
      </c>
      <c r="I95" s="253">
        <f t="shared" si="44"/>
        <v>0</v>
      </c>
      <c r="J95" s="253">
        <f t="shared" si="44"/>
        <v>0</v>
      </c>
      <c r="K95" s="253">
        <f t="shared" si="44"/>
        <v>0</v>
      </c>
    </row>
    <row r="96" spans="1:11">
      <c r="A96" s="14"/>
      <c r="C96" s="59"/>
      <c r="D96" s="59"/>
      <c r="E96" s="59"/>
      <c r="F96" s="59"/>
      <c r="G96" s="59"/>
      <c r="H96" s="59"/>
      <c r="I96" s="59"/>
      <c r="J96" s="59"/>
      <c r="K96" s="59"/>
    </row>
    <row r="97" spans="1:11">
      <c r="A97" s="14"/>
    </row>
    <row r="98" spans="1:11" ht="18">
      <c r="A98" s="14"/>
      <c r="B98" s="106" t="s">
        <v>382</v>
      </c>
      <c r="C98" s="201">
        <v>2013</v>
      </c>
      <c r="D98" s="202">
        <v>2014</v>
      </c>
      <c r="E98" s="202">
        <v>2015</v>
      </c>
      <c r="F98" s="202">
        <v>2016</v>
      </c>
      <c r="G98" s="202">
        <v>2017</v>
      </c>
      <c r="H98" s="202">
        <v>2018</v>
      </c>
      <c r="I98" s="202">
        <v>2019</v>
      </c>
      <c r="J98" s="202">
        <v>2020</v>
      </c>
      <c r="K98" s="202">
        <v>2021</v>
      </c>
    </row>
    <row r="99" spans="1:11">
      <c r="A99" s="14"/>
      <c r="B99" s="103" t="s">
        <v>383</v>
      </c>
      <c r="C99" s="203">
        <f>'Balance general'!C31</f>
        <v>0</v>
      </c>
      <c r="D99" s="203">
        <f>C103</f>
        <v>0</v>
      </c>
      <c r="E99" s="203">
        <f t="shared" ref="E99:K99" si="45">D103</f>
        <v>2500000</v>
      </c>
      <c r="F99" s="203">
        <f t="shared" si="45"/>
        <v>2500000</v>
      </c>
      <c r="G99" s="203">
        <f t="shared" si="45"/>
        <v>2500000</v>
      </c>
      <c r="H99" s="203">
        <f t="shared" si="45"/>
        <v>2500000</v>
      </c>
      <c r="I99" s="203">
        <f t="shared" si="45"/>
        <v>2500000</v>
      </c>
      <c r="J99" s="203">
        <f t="shared" si="45"/>
        <v>2500000</v>
      </c>
      <c r="K99" s="203">
        <f t="shared" si="45"/>
        <v>2500000</v>
      </c>
    </row>
    <row r="100" spans="1:11">
      <c r="A100" s="14"/>
      <c r="B100" s="103" t="s">
        <v>384</v>
      </c>
      <c r="C100" s="204">
        <f>C99*Parametros!$C$219</f>
        <v>0</v>
      </c>
      <c r="D100" s="203">
        <f>D99*Parametros!$C$219</f>
        <v>0</v>
      </c>
      <c r="E100" s="203">
        <f>E99*Parametros!$C$219</f>
        <v>1000000</v>
      </c>
      <c r="F100" s="203">
        <f>F99*Parametros!$C$219</f>
        <v>1000000</v>
      </c>
      <c r="G100" s="203">
        <f>G99*Parametros!$C$219</f>
        <v>1000000</v>
      </c>
      <c r="H100" s="203">
        <f>H99*Parametros!$C$219</f>
        <v>1000000</v>
      </c>
      <c r="I100" s="203">
        <f>I99*Parametros!$C$219</f>
        <v>1000000</v>
      </c>
      <c r="J100" s="203">
        <f>J99*Parametros!$C$219</f>
        <v>1000000</v>
      </c>
      <c r="K100" s="203">
        <f>K99*Parametros!$C$219</f>
        <v>1000000</v>
      </c>
    </row>
    <row r="101" spans="1:11">
      <c r="A101" s="14"/>
      <c r="B101" s="103" t="s">
        <v>385</v>
      </c>
      <c r="C101" s="203">
        <f>C99</f>
        <v>0</v>
      </c>
      <c r="D101" s="203">
        <f t="shared" ref="D101:K101" si="46">D99</f>
        <v>0</v>
      </c>
      <c r="E101" s="203">
        <f t="shared" si="46"/>
        <v>2500000</v>
      </c>
      <c r="F101" s="203">
        <f t="shared" si="46"/>
        <v>2500000</v>
      </c>
      <c r="G101" s="203">
        <f t="shared" si="46"/>
        <v>2500000</v>
      </c>
      <c r="H101" s="203">
        <f t="shared" si="46"/>
        <v>2500000</v>
      </c>
      <c r="I101" s="203">
        <f t="shared" si="46"/>
        <v>2500000</v>
      </c>
      <c r="J101" s="203">
        <f t="shared" si="46"/>
        <v>2500000</v>
      </c>
      <c r="K101" s="203">
        <f t="shared" si="46"/>
        <v>2500000</v>
      </c>
    </row>
    <row r="102" spans="1:11">
      <c r="A102" s="14"/>
      <c r="B102" s="103" t="s">
        <v>386</v>
      </c>
      <c r="C102" s="18">
        <f t="shared" ref="C102:K102" si="47">C56</f>
        <v>0</v>
      </c>
      <c r="D102" s="18">
        <f t="shared" si="47"/>
        <v>2500000</v>
      </c>
      <c r="E102" s="18">
        <f t="shared" si="47"/>
        <v>2500000</v>
      </c>
      <c r="F102" s="18">
        <f t="shared" si="47"/>
        <v>2500000</v>
      </c>
      <c r="G102" s="18">
        <f t="shared" si="47"/>
        <v>2500000</v>
      </c>
      <c r="H102" s="18">
        <f t="shared" si="47"/>
        <v>2500000</v>
      </c>
      <c r="I102" s="18">
        <f t="shared" si="47"/>
        <v>2500000</v>
      </c>
      <c r="J102" s="18">
        <f t="shared" si="47"/>
        <v>2500000</v>
      </c>
      <c r="K102" s="18">
        <f t="shared" si="47"/>
        <v>2500000</v>
      </c>
    </row>
    <row r="103" spans="1:11">
      <c r="A103" s="14"/>
      <c r="B103" s="103" t="s">
        <v>387</v>
      </c>
      <c r="C103" s="18">
        <f>C99-C101+C102</f>
        <v>0</v>
      </c>
      <c r="D103" s="18">
        <f t="shared" ref="D103:K103" si="48">D99-D101+D102</f>
        <v>2500000</v>
      </c>
      <c r="E103" s="18">
        <f t="shared" si="48"/>
        <v>2500000</v>
      </c>
      <c r="F103" s="18">
        <f t="shared" si="48"/>
        <v>2500000</v>
      </c>
      <c r="G103" s="18">
        <f t="shared" si="48"/>
        <v>2500000</v>
      </c>
      <c r="H103" s="18">
        <f t="shared" si="48"/>
        <v>2500000</v>
      </c>
      <c r="I103" s="18">
        <f t="shared" si="48"/>
        <v>2500000</v>
      </c>
      <c r="J103" s="18">
        <f t="shared" si="48"/>
        <v>2500000</v>
      </c>
      <c r="K103" s="18">
        <f t="shared" si="48"/>
        <v>2500000</v>
      </c>
    </row>
    <row r="104" spans="1:11" ht="18">
      <c r="A104" s="14"/>
      <c r="B104" s="106" t="s">
        <v>388</v>
      </c>
      <c r="C104" s="201">
        <v>2013</v>
      </c>
      <c r="D104" s="202">
        <v>2014</v>
      </c>
      <c r="E104" s="202">
        <v>2015</v>
      </c>
      <c r="F104" s="202">
        <v>2016</v>
      </c>
      <c r="G104" s="202">
        <v>2017</v>
      </c>
      <c r="H104" s="202">
        <v>2018</v>
      </c>
      <c r="I104" s="202">
        <v>2019</v>
      </c>
      <c r="J104" s="202">
        <v>2020</v>
      </c>
      <c r="K104" s="202">
        <v>2021</v>
      </c>
    </row>
    <row r="105" spans="1:11">
      <c r="A105" s="14"/>
      <c r="B105" s="103" t="s">
        <v>389</v>
      </c>
      <c r="C105" s="204">
        <v>0</v>
      </c>
      <c r="D105" s="203">
        <f>C109</f>
        <v>0</v>
      </c>
      <c r="E105" s="203">
        <f t="shared" ref="E105:K105" si="49">D109</f>
        <v>8000000</v>
      </c>
      <c r="F105" s="203">
        <f t="shared" si="49"/>
        <v>16000000</v>
      </c>
      <c r="G105" s="203">
        <f t="shared" si="49"/>
        <v>24000000</v>
      </c>
      <c r="H105" s="203">
        <f t="shared" si="49"/>
        <v>32000000</v>
      </c>
      <c r="I105" s="203">
        <f t="shared" si="49"/>
        <v>40000000</v>
      </c>
      <c r="J105" s="203">
        <f t="shared" si="49"/>
        <v>48000000</v>
      </c>
      <c r="K105" s="203">
        <f t="shared" si="49"/>
        <v>56000000</v>
      </c>
    </row>
    <row r="106" spans="1:11" ht="18" customHeight="1">
      <c r="A106" s="14"/>
      <c r="B106" s="103" t="s">
        <v>384</v>
      </c>
      <c r="C106" s="204">
        <f>C105*Parametros!$C$221</f>
        <v>0</v>
      </c>
      <c r="D106" s="204">
        <f>D105*Parametros!$C$221</f>
        <v>0</v>
      </c>
      <c r="E106" s="204">
        <f>E105*Parametros!$C$221</f>
        <v>960000</v>
      </c>
      <c r="F106" s="204">
        <f>F105*Parametros!$C$221</f>
        <v>1920000</v>
      </c>
      <c r="G106" s="204">
        <f>G105*Parametros!$C$221</f>
        <v>2880000</v>
      </c>
      <c r="H106" s="204">
        <f>H105*Parametros!$C$221</f>
        <v>3840000</v>
      </c>
      <c r="I106" s="204">
        <f>I105*Parametros!$C$221</f>
        <v>4800000</v>
      </c>
      <c r="J106" s="204">
        <f>J105*Parametros!$C$221</f>
        <v>5760000</v>
      </c>
      <c r="K106" s="204">
        <f>K105*Parametros!$C$221</f>
        <v>6720000</v>
      </c>
    </row>
    <row r="107" spans="1:11" ht="17.25" customHeight="1">
      <c r="A107" s="14"/>
      <c r="B107" s="103" t="s">
        <v>390</v>
      </c>
      <c r="C107" s="203"/>
      <c r="D107" s="203"/>
      <c r="E107" s="203"/>
      <c r="F107" s="203"/>
      <c r="G107" s="203"/>
      <c r="H107" s="203"/>
      <c r="I107" s="203"/>
      <c r="J107" s="203"/>
      <c r="K107" s="203"/>
    </row>
    <row r="108" spans="1:11">
      <c r="A108" s="14"/>
      <c r="B108" s="103" t="s">
        <v>391</v>
      </c>
      <c r="C108" s="18">
        <f t="shared" ref="C108:K108" si="50">C59</f>
        <v>0</v>
      </c>
      <c r="D108" s="18">
        <f t="shared" si="50"/>
        <v>8000000</v>
      </c>
      <c r="E108" s="18">
        <f t="shared" si="50"/>
        <v>8000000</v>
      </c>
      <c r="F108" s="18">
        <f t="shared" si="50"/>
        <v>8000000</v>
      </c>
      <c r="G108" s="18">
        <f t="shared" si="50"/>
        <v>8000000</v>
      </c>
      <c r="H108" s="18">
        <f t="shared" si="50"/>
        <v>8000000</v>
      </c>
      <c r="I108" s="18">
        <f t="shared" si="50"/>
        <v>8000000</v>
      </c>
      <c r="J108" s="18">
        <f t="shared" si="50"/>
        <v>8000000</v>
      </c>
      <c r="K108" s="18">
        <f t="shared" si="50"/>
        <v>8000000</v>
      </c>
    </row>
    <row r="109" spans="1:11">
      <c r="A109" s="14"/>
      <c r="B109" s="103" t="s">
        <v>392</v>
      </c>
      <c r="C109" s="18">
        <f>C105-C107+C108</f>
        <v>0</v>
      </c>
      <c r="D109" s="18">
        <f t="shared" ref="D109:K109" si="51">D105-D107+D108</f>
        <v>8000000</v>
      </c>
      <c r="E109" s="18">
        <f t="shared" si="51"/>
        <v>16000000</v>
      </c>
      <c r="F109" s="18">
        <f t="shared" si="51"/>
        <v>24000000</v>
      </c>
      <c r="G109" s="18">
        <f t="shared" si="51"/>
        <v>32000000</v>
      </c>
      <c r="H109" s="18">
        <f t="shared" si="51"/>
        <v>40000000</v>
      </c>
      <c r="I109" s="18">
        <f t="shared" si="51"/>
        <v>48000000</v>
      </c>
      <c r="J109" s="18">
        <f t="shared" si="51"/>
        <v>56000000</v>
      </c>
      <c r="K109" s="18">
        <f t="shared" si="51"/>
        <v>64000000</v>
      </c>
    </row>
    <row r="110" spans="1:11" ht="18">
      <c r="A110" s="14"/>
      <c r="B110" s="106" t="s">
        <v>393</v>
      </c>
      <c r="C110" s="201">
        <v>2013</v>
      </c>
      <c r="D110" s="202">
        <v>2014</v>
      </c>
      <c r="E110" s="202">
        <v>2015</v>
      </c>
      <c r="F110" s="202">
        <v>2016</v>
      </c>
      <c r="G110" s="202">
        <v>2017</v>
      </c>
      <c r="H110" s="202">
        <v>2018</v>
      </c>
      <c r="I110" s="202">
        <v>2019</v>
      </c>
      <c r="J110" s="202">
        <v>2020</v>
      </c>
      <c r="K110" s="202">
        <v>2021</v>
      </c>
    </row>
    <row r="111" spans="1:11">
      <c r="A111" s="14"/>
      <c r="B111" s="103" t="s">
        <v>394</v>
      </c>
      <c r="C111" s="203">
        <f>'Balance general'!C36</f>
        <v>15000000</v>
      </c>
      <c r="D111" s="203">
        <f>C114</f>
        <v>0</v>
      </c>
      <c r="E111" s="203">
        <f t="shared" ref="E111:K111" si="52">D114</f>
        <v>0</v>
      </c>
      <c r="F111" s="203">
        <f t="shared" si="52"/>
        <v>0</v>
      </c>
      <c r="G111" s="203">
        <f t="shared" si="52"/>
        <v>0</v>
      </c>
      <c r="H111" s="203">
        <f t="shared" si="52"/>
        <v>0</v>
      </c>
      <c r="I111" s="203">
        <f t="shared" si="52"/>
        <v>0</v>
      </c>
      <c r="J111" s="203">
        <f t="shared" si="52"/>
        <v>0</v>
      </c>
      <c r="K111" s="203">
        <f t="shared" si="52"/>
        <v>0</v>
      </c>
    </row>
    <row r="112" spans="1:11">
      <c r="A112" s="14"/>
      <c r="B112" s="103" t="s">
        <v>395</v>
      </c>
      <c r="C112" s="203">
        <f>EGP!C23</f>
        <v>0</v>
      </c>
      <c r="D112" s="203">
        <f>EGP!D23</f>
        <v>0</v>
      </c>
      <c r="E112" s="203">
        <f>EGP!E23</f>
        <v>0</v>
      </c>
      <c r="F112" s="203">
        <f>EGP!F23</f>
        <v>0</v>
      </c>
      <c r="G112" s="203">
        <f>EGP!G23</f>
        <v>0</v>
      </c>
      <c r="H112" s="203">
        <f>EGP!H23</f>
        <v>0</v>
      </c>
      <c r="I112" s="203">
        <f>EGP!I23</f>
        <v>0</v>
      </c>
      <c r="J112" s="203">
        <f>EGP!J23</f>
        <v>0</v>
      </c>
      <c r="K112" s="203">
        <f>EGP!K23</f>
        <v>0</v>
      </c>
    </row>
    <row r="113" spans="1:11">
      <c r="A113" s="14"/>
      <c r="B113" s="103" t="s">
        <v>377</v>
      </c>
      <c r="C113" s="204">
        <f t="shared" ref="C113:K113" si="53">C78</f>
        <v>15000000</v>
      </c>
      <c r="D113" s="204">
        <f t="shared" si="53"/>
        <v>0</v>
      </c>
      <c r="E113" s="204">
        <f t="shared" si="53"/>
        <v>0</v>
      </c>
      <c r="F113" s="204">
        <f t="shared" si="53"/>
        <v>0</v>
      </c>
      <c r="G113" s="204">
        <f t="shared" si="53"/>
        <v>0</v>
      </c>
      <c r="H113" s="204">
        <f t="shared" si="53"/>
        <v>0</v>
      </c>
      <c r="I113" s="204">
        <f t="shared" si="53"/>
        <v>0</v>
      </c>
      <c r="J113" s="204">
        <f t="shared" si="53"/>
        <v>0</v>
      </c>
      <c r="K113" s="204">
        <f t="shared" si="53"/>
        <v>0</v>
      </c>
    </row>
    <row r="114" spans="1:11">
      <c r="A114" s="14"/>
      <c r="B114" s="103" t="s">
        <v>396</v>
      </c>
      <c r="C114" s="18">
        <f>C111+C112-C113</f>
        <v>0</v>
      </c>
      <c r="D114" s="18">
        <f t="shared" ref="D114:K114" si="54">D111+D112-D113</f>
        <v>0</v>
      </c>
      <c r="E114" s="18">
        <f t="shared" si="54"/>
        <v>0</v>
      </c>
      <c r="F114" s="18">
        <f t="shared" si="54"/>
        <v>0</v>
      </c>
      <c r="G114" s="18">
        <f t="shared" si="54"/>
        <v>0</v>
      </c>
      <c r="H114" s="18">
        <f t="shared" si="54"/>
        <v>0</v>
      </c>
      <c r="I114" s="18">
        <f t="shared" si="54"/>
        <v>0</v>
      </c>
      <c r="J114" s="18">
        <f t="shared" si="54"/>
        <v>0</v>
      </c>
      <c r="K114" s="18">
        <f t="shared" si="54"/>
        <v>0</v>
      </c>
    </row>
    <row r="115" spans="1:11" ht="18">
      <c r="A115" s="14"/>
      <c r="B115" s="106" t="s">
        <v>397</v>
      </c>
      <c r="C115" s="201">
        <v>2013</v>
      </c>
      <c r="D115" s="202">
        <v>2014</v>
      </c>
      <c r="E115" s="202">
        <v>2015</v>
      </c>
      <c r="F115" s="202">
        <v>2016</v>
      </c>
      <c r="G115" s="202">
        <v>2017</v>
      </c>
      <c r="H115" s="202">
        <v>2018</v>
      </c>
      <c r="I115" s="202">
        <v>2019</v>
      </c>
      <c r="J115" s="202">
        <v>2020</v>
      </c>
      <c r="K115" s="202">
        <v>2021</v>
      </c>
    </row>
    <row r="116" spans="1:11">
      <c r="A116" s="14"/>
      <c r="B116" s="103" t="s">
        <v>398</v>
      </c>
      <c r="C116" s="203">
        <f>Parametros!C162</f>
        <v>837828</v>
      </c>
      <c r="D116" s="203">
        <f>C119</f>
        <v>9835249.3573135138</v>
      </c>
      <c r="E116" s="203">
        <f t="shared" ref="E116:K116" si="55">D119</f>
        <v>0</v>
      </c>
      <c r="F116" s="203">
        <f t="shared" si="55"/>
        <v>0</v>
      </c>
      <c r="G116" s="203">
        <f t="shared" si="55"/>
        <v>0</v>
      </c>
      <c r="H116" s="203">
        <f t="shared" si="55"/>
        <v>0</v>
      </c>
      <c r="I116" s="203">
        <f t="shared" si="55"/>
        <v>0</v>
      </c>
      <c r="J116" s="203">
        <f t="shared" si="55"/>
        <v>0</v>
      </c>
      <c r="K116" s="203">
        <f t="shared" si="55"/>
        <v>0</v>
      </c>
    </row>
    <row r="117" spans="1:11">
      <c r="A117" s="14"/>
      <c r="B117" s="103" t="s">
        <v>380</v>
      </c>
      <c r="C117" s="204">
        <f t="shared" ref="C117:K117" si="56">C82</f>
        <v>8997421.3573135138</v>
      </c>
      <c r="D117" s="204">
        <f t="shared" si="56"/>
        <v>0</v>
      </c>
      <c r="E117" s="204">
        <f t="shared" si="56"/>
        <v>0</v>
      </c>
      <c r="F117" s="204">
        <f t="shared" si="56"/>
        <v>0</v>
      </c>
      <c r="G117" s="204">
        <f t="shared" si="56"/>
        <v>0</v>
      </c>
      <c r="H117" s="204">
        <f t="shared" si="56"/>
        <v>0</v>
      </c>
      <c r="I117" s="204">
        <f t="shared" si="56"/>
        <v>0</v>
      </c>
      <c r="J117" s="204">
        <f t="shared" si="56"/>
        <v>0</v>
      </c>
      <c r="K117" s="204">
        <f t="shared" si="56"/>
        <v>0</v>
      </c>
    </row>
    <row r="118" spans="1:11">
      <c r="A118" s="14"/>
      <c r="B118" s="103" t="s">
        <v>369</v>
      </c>
      <c r="C118" s="203">
        <f t="shared" ref="C118:K118" si="57">C62</f>
        <v>0</v>
      </c>
      <c r="D118" s="203">
        <f t="shared" si="57"/>
        <v>9835249.3573135138</v>
      </c>
      <c r="E118" s="203">
        <f t="shared" si="57"/>
        <v>0</v>
      </c>
      <c r="F118" s="203">
        <f t="shared" si="57"/>
        <v>0</v>
      </c>
      <c r="G118" s="203">
        <f t="shared" si="57"/>
        <v>0</v>
      </c>
      <c r="H118" s="203">
        <f t="shared" si="57"/>
        <v>0</v>
      </c>
      <c r="I118" s="203">
        <f t="shared" si="57"/>
        <v>0</v>
      </c>
      <c r="J118" s="203">
        <f t="shared" si="57"/>
        <v>0</v>
      </c>
      <c r="K118" s="203">
        <f t="shared" si="57"/>
        <v>0</v>
      </c>
    </row>
    <row r="119" spans="1:11">
      <c r="A119" s="14"/>
      <c r="B119" s="103" t="s">
        <v>399</v>
      </c>
      <c r="C119" s="18">
        <f>C116+C117-C118</f>
        <v>9835249.3573135138</v>
      </c>
      <c r="D119" s="18">
        <f t="shared" ref="D119:K119" si="58">D116+D117-D118</f>
        <v>0</v>
      </c>
      <c r="E119" s="18">
        <f t="shared" si="58"/>
        <v>0</v>
      </c>
      <c r="F119" s="18">
        <f t="shared" si="58"/>
        <v>0</v>
      </c>
      <c r="G119" s="18">
        <f t="shared" si="58"/>
        <v>0</v>
      </c>
      <c r="H119" s="18">
        <f t="shared" si="58"/>
        <v>0</v>
      </c>
      <c r="I119" s="18">
        <f t="shared" si="58"/>
        <v>0</v>
      </c>
      <c r="J119" s="18">
        <f t="shared" si="58"/>
        <v>0</v>
      </c>
      <c r="K119" s="18">
        <f t="shared" si="58"/>
        <v>0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1" workbookViewId="0">
      <selection activeCell="E28" sqref="E28"/>
    </sheetView>
  </sheetViews>
  <sheetFormatPr baseColWidth="10" defaultRowHeight="15" x14ac:dyDescent="0"/>
  <cols>
    <col min="2" max="2" width="36.5" customWidth="1"/>
    <col min="3" max="3" width="12.1640625" bestFit="1" customWidth="1"/>
    <col min="4" max="12" width="13.5" customWidth="1"/>
  </cols>
  <sheetData>
    <row r="2" spans="2:12" ht="20">
      <c r="B2" s="28" t="s">
        <v>526</v>
      </c>
      <c r="C2" s="31"/>
      <c r="D2" s="20"/>
      <c r="E2" s="20"/>
      <c r="F2" s="20"/>
      <c r="G2" s="20"/>
      <c r="H2" s="20"/>
      <c r="I2" s="20"/>
      <c r="J2" s="20"/>
      <c r="K2" s="20"/>
      <c r="L2" s="20"/>
    </row>
    <row r="3" spans="2:12" ht="20">
      <c r="B3" s="33"/>
      <c r="C3" s="33"/>
      <c r="D3" s="20"/>
      <c r="E3" s="20"/>
      <c r="F3" s="20"/>
      <c r="G3" s="20"/>
      <c r="H3" s="20"/>
      <c r="I3" s="20"/>
      <c r="J3" s="20"/>
      <c r="K3" s="20"/>
      <c r="L3" s="20"/>
    </row>
    <row r="4" spans="2:12" ht="20">
      <c r="B4" s="20"/>
      <c r="C4" s="75" t="s">
        <v>187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 ht="18">
      <c r="B5" s="106" t="s">
        <v>188</v>
      </c>
    </row>
    <row r="6" spans="2:12">
      <c r="C6" s="76"/>
      <c r="D6" s="77"/>
      <c r="E6" s="77"/>
      <c r="F6" s="77"/>
      <c r="G6" s="77"/>
      <c r="H6" s="77"/>
      <c r="I6" s="77"/>
      <c r="J6" s="77"/>
      <c r="K6" s="77"/>
      <c r="L6" s="77"/>
    </row>
    <row r="7" spans="2:12">
      <c r="B7" s="78" t="s">
        <v>189</v>
      </c>
    </row>
    <row r="8" spans="2:12">
      <c r="B8" s="79" t="s">
        <v>161</v>
      </c>
      <c r="C8" s="80">
        <f>Parametros!C155</f>
        <v>6500000</v>
      </c>
      <c r="D8" s="61">
        <f>'Flujo de caja'!C48</f>
        <v>7000000</v>
      </c>
      <c r="E8" s="61">
        <f>'Flujo de caja'!D48</f>
        <v>2000000</v>
      </c>
      <c r="F8" s="61">
        <f>'Flujo de caja'!E48</f>
        <v>2000000</v>
      </c>
      <c r="G8" s="61">
        <f>'Flujo de caja'!F48</f>
        <v>2000000</v>
      </c>
      <c r="H8" s="61">
        <f>'Flujo de caja'!G48</f>
        <v>2000000</v>
      </c>
      <c r="I8" s="61">
        <f>'Flujo de caja'!H48</f>
        <v>2000000</v>
      </c>
      <c r="J8" s="61">
        <f>'Flujo de caja'!I48</f>
        <v>2000000</v>
      </c>
      <c r="K8" s="61">
        <f>'Flujo de caja'!J48</f>
        <v>2000000</v>
      </c>
      <c r="L8" s="61">
        <f>'Flujo de caja'!K48</f>
        <v>2000000</v>
      </c>
    </row>
    <row r="9" spans="2:12">
      <c r="B9" s="79" t="s">
        <v>162</v>
      </c>
      <c r="C9" s="80">
        <f>Parametros!C156</f>
        <v>3548950</v>
      </c>
      <c r="D9" s="62">
        <f>'IGV e IR'!C18</f>
        <v>0</v>
      </c>
      <c r="E9" s="62">
        <f>'IGV e IR'!D18</f>
        <v>0</v>
      </c>
      <c r="F9" s="62">
        <f>'IGV e IR'!E18</f>
        <v>0</v>
      </c>
      <c r="G9" s="62">
        <f>'IGV e IR'!F18</f>
        <v>0</v>
      </c>
      <c r="H9" s="62">
        <f>'IGV e IR'!G18</f>
        <v>0</v>
      </c>
      <c r="I9" s="62">
        <f>'IGV e IR'!H18</f>
        <v>0</v>
      </c>
      <c r="J9" s="62">
        <f>'IGV e IR'!I18</f>
        <v>0</v>
      </c>
      <c r="K9" s="62">
        <f>'IGV e IR'!J18</f>
        <v>0</v>
      </c>
      <c r="L9" s="62">
        <f>'IGV e IR'!K18</f>
        <v>0</v>
      </c>
    </row>
    <row r="10" spans="2:12">
      <c r="B10" s="79" t="s">
        <v>190</v>
      </c>
      <c r="C10" s="80">
        <f>Parametros!C157</f>
        <v>11000000</v>
      </c>
      <c r="D10" s="232">
        <f>'Cuentas x Cobrar'!C26</f>
        <v>14052384.510999992</v>
      </c>
      <c r="E10" s="232">
        <f>'Cuentas x Cobrar'!D26</f>
        <v>14615029.219182149</v>
      </c>
      <c r="F10" s="232">
        <f>'Cuentas x Cobrar'!E26</f>
        <v>15225510.537599176</v>
      </c>
      <c r="G10" s="232">
        <f>'Cuentas x Cobrar'!F26</f>
        <v>15776279.937655315</v>
      </c>
      <c r="H10" s="232">
        <f>'Cuentas x Cobrar'!G26</f>
        <v>16364419.492916316</v>
      </c>
      <c r="I10" s="232">
        <f>'Cuentas x Cobrar'!H26</f>
        <v>17121837.429164797</v>
      </c>
      <c r="J10" s="232">
        <f>'Cuentas x Cobrar'!I26</f>
        <v>17696609.575460374</v>
      </c>
      <c r="K10" s="232">
        <f>'Cuentas x Cobrar'!J26</f>
        <v>18311930.081237018</v>
      </c>
      <c r="L10" s="232">
        <f>'Cuentas x Cobrar'!K26</f>
        <v>18908659.957920432</v>
      </c>
    </row>
    <row r="11" spans="2:12">
      <c r="B11" s="81" t="s">
        <v>191</v>
      </c>
    </row>
    <row r="12" spans="2:12">
      <c r="B12" s="82" t="s">
        <v>107</v>
      </c>
      <c r="C12" s="83">
        <f>Parametros!C158</f>
        <v>6941000</v>
      </c>
      <c r="D12" s="232">
        <f>'Compras Valorizadas'!C32</f>
        <v>7117457.6756116403</v>
      </c>
      <c r="E12" s="232">
        <f>'Compras Valorizadas'!D32</f>
        <v>7242906.2983654384</v>
      </c>
      <c r="F12" s="232">
        <f>'Compras Valorizadas'!E32</f>
        <v>7348763.764884172</v>
      </c>
      <c r="G12" s="232">
        <f>'Compras Valorizadas'!F32</f>
        <v>7503132.5089241508</v>
      </c>
      <c r="H12" s="232">
        <f>'Compras Valorizadas'!G32</f>
        <v>7668279.6543445457</v>
      </c>
      <c r="I12" s="232">
        <f>'Compras Valorizadas'!H32</f>
        <v>7879401.490618797</v>
      </c>
      <c r="J12" s="232">
        <f>'Compras Valorizadas'!I32</f>
        <v>8042124.166358904</v>
      </c>
      <c r="K12" s="232">
        <f>'Compras Valorizadas'!J32</f>
        <v>8214612.4803489167</v>
      </c>
      <c r="L12" s="232">
        <f>'Compras Valorizadas'!K32</f>
        <v>8381640.6007499434</v>
      </c>
    </row>
    <row r="13" spans="2:12">
      <c r="B13" s="82" t="s">
        <v>192</v>
      </c>
      <c r="C13" s="83">
        <f>Parametros!C159</f>
        <v>12510000</v>
      </c>
      <c r="D13" s="232">
        <f>'Costo de ventas'!D38</f>
        <v>165375836.88916117</v>
      </c>
      <c r="E13" s="232">
        <f>'Costo de ventas'!E38</f>
        <v>166874245.75337958</v>
      </c>
      <c r="F13" s="232">
        <f>'Costo de ventas'!F38</f>
        <v>168821575.05213097</v>
      </c>
      <c r="G13" s="232">
        <f>'Costo de ventas'!G38</f>
        <v>171671060.53304312</v>
      </c>
      <c r="H13" s="232">
        <f>'Costo de ventas'!H38</f>
        <v>174686386.93366829</v>
      </c>
      <c r="I13" s="232">
        <f>'Costo de ventas'!I38</f>
        <v>178212628.93191189</v>
      </c>
      <c r="J13" s="232">
        <f>'Costo de ventas'!J38</f>
        <v>181343354.11142123</v>
      </c>
      <c r="K13" s="232">
        <f>'Costo de ventas'!K38</f>
        <v>184419435.29316992</v>
      </c>
      <c r="L13" s="232">
        <f>'Costo de ventas'!L38</f>
        <v>187226483.37566379</v>
      </c>
    </row>
    <row r="14" spans="2:12">
      <c r="B14" s="84" t="s">
        <v>193</v>
      </c>
      <c r="C14" s="85">
        <f>SUM(C8:C13)</f>
        <v>40499950</v>
      </c>
      <c r="D14" s="85">
        <f t="shared" ref="D14:L14" si="0">SUM(D8:D13)</f>
        <v>193545679.07577279</v>
      </c>
      <c r="E14" s="85">
        <f t="shared" si="0"/>
        <v>190732181.27092716</v>
      </c>
      <c r="F14" s="85">
        <f t="shared" si="0"/>
        <v>193395849.35461432</v>
      </c>
      <c r="G14" s="85">
        <f t="shared" si="0"/>
        <v>196950472.97962257</v>
      </c>
      <c r="H14" s="85">
        <f t="shared" si="0"/>
        <v>200719086.08092916</v>
      </c>
      <c r="I14" s="85">
        <f t="shared" si="0"/>
        <v>205213867.85169548</v>
      </c>
      <c r="J14" s="85">
        <f t="shared" si="0"/>
        <v>209082087.85324049</v>
      </c>
      <c r="K14" s="85">
        <f t="shared" si="0"/>
        <v>212945977.85475585</v>
      </c>
      <c r="L14" s="85">
        <f t="shared" si="0"/>
        <v>216516783.93433416</v>
      </c>
    </row>
    <row r="15" spans="2:12"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12">
      <c r="B16" s="78" t="s">
        <v>194</v>
      </c>
    </row>
    <row r="17" spans="2:12">
      <c r="B17" s="79" t="s">
        <v>166</v>
      </c>
      <c r="C17" s="83">
        <f>Parametros!C160</f>
        <v>68319950</v>
      </c>
      <c r="D17" s="232">
        <f>'Activos fijos'!$C$31</f>
        <v>68319950</v>
      </c>
      <c r="E17" s="232">
        <f>'Activos fijos'!$C$31</f>
        <v>68319950</v>
      </c>
      <c r="F17" s="232">
        <f>'Activos fijos'!$C$31</f>
        <v>68319950</v>
      </c>
      <c r="G17" s="232">
        <f>'Activos fijos'!$C$31</f>
        <v>68319950</v>
      </c>
      <c r="H17" s="232">
        <f>'Activos fijos'!$C$31</f>
        <v>68319950</v>
      </c>
      <c r="I17" s="232">
        <f>'Activos fijos'!$C$31</f>
        <v>68319950</v>
      </c>
      <c r="J17" s="232">
        <f>'Activos fijos'!$C$31</f>
        <v>68319950</v>
      </c>
      <c r="K17" s="232">
        <f>'Activos fijos'!$C$31</f>
        <v>68319950</v>
      </c>
      <c r="L17" s="232">
        <f>'Activos fijos'!$C$31</f>
        <v>68319950</v>
      </c>
    </row>
    <row r="18" spans="2:12">
      <c r="B18" s="79" t="s">
        <v>167</v>
      </c>
      <c r="C18" s="83">
        <f>Parametros!C161</f>
        <v>-54521860</v>
      </c>
      <c r="D18" s="232">
        <f>-'Activos fijos'!C125</f>
        <v>-55922898</v>
      </c>
      <c r="E18" s="232">
        <f>-'Activos fijos'!D125</f>
        <v>-57323936</v>
      </c>
      <c r="F18" s="232">
        <f>-'Activos fijos'!E125</f>
        <v>-58724974</v>
      </c>
      <c r="G18" s="232">
        <f>-'Activos fijos'!F125</f>
        <v>-60113512</v>
      </c>
      <c r="H18" s="232">
        <f>-'Activos fijos'!G125</f>
        <v>-61402050</v>
      </c>
      <c r="I18" s="232">
        <f>-'Activos fijos'!H125</f>
        <v>-62678588</v>
      </c>
      <c r="J18" s="232">
        <f>-'Activos fijos'!I125</f>
        <v>-63655611</v>
      </c>
      <c r="K18" s="232">
        <f>-'Activos fijos'!J125</f>
        <v>-64632634</v>
      </c>
      <c r="L18" s="232">
        <f>-'Activos fijos'!K125</f>
        <v>-65609657</v>
      </c>
    </row>
    <row r="19" spans="2:12">
      <c r="B19" s="79" t="s">
        <v>168</v>
      </c>
      <c r="C19" s="83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</row>
    <row r="20" spans="2:12">
      <c r="B20" s="79" t="s">
        <v>169</v>
      </c>
      <c r="C20" s="83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</row>
    <row r="21" spans="2:12">
      <c r="B21" s="79" t="s">
        <v>195</v>
      </c>
      <c r="C21" s="86">
        <f>Parametros!C162</f>
        <v>837828</v>
      </c>
      <c r="D21" s="232">
        <f>'Flujo de caja'!C119</f>
        <v>9835249.3573135138</v>
      </c>
      <c r="E21" s="232">
        <f>'Flujo de caja'!D119</f>
        <v>0</v>
      </c>
      <c r="F21" s="232">
        <f>'Flujo de caja'!E119</f>
        <v>0</v>
      </c>
      <c r="G21" s="232">
        <f>'Flujo de caja'!F119</f>
        <v>0</v>
      </c>
      <c r="H21" s="232">
        <f>'Flujo de caja'!G119</f>
        <v>0</v>
      </c>
      <c r="I21" s="232">
        <f>'Flujo de caja'!H119</f>
        <v>0</v>
      </c>
      <c r="J21" s="232">
        <f>'Flujo de caja'!I119</f>
        <v>0</v>
      </c>
      <c r="K21" s="232">
        <f>'Flujo de caja'!J119</f>
        <v>0</v>
      </c>
      <c r="L21" s="232">
        <f>'Flujo de caja'!K119</f>
        <v>0</v>
      </c>
    </row>
    <row r="22" spans="2:12">
      <c r="B22" s="84" t="s">
        <v>196</v>
      </c>
      <c r="C22" s="83">
        <f>SUM(C17:C21)</f>
        <v>14635918</v>
      </c>
      <c r="D22" s="61">
        <f>SUM(D17:D21)</f>
        <v>22232301.357313514</v>
      </c>
      <c r="E22" s="61">
        <f t="shared" ref="E22:L22" si="1">SUM(E17:E21)</f>
        <v>10996014</v>
      </c>
      <c r="F22" s="61">
        <f t="shared" si="1"/>
        <v>9594976</v>
      </c>
      <c r="G22" s="61">
        <f t="shared" si="1"/>
        <v>8206438</v>
      </c>
      <c r="H22" s="61">
        <f t="shared" si="1"/>
        <v>6917900</v>
      </c>
      <c r="I22" s="61">
        <f t="shared" si="1"/>
        <v>5641362</v>
      </c>
      <c r="J22" s="61">
        <f t="shared" si="1"/>
        <v>4664339</v>
      </c>
      <c r="K22" s="61">
        <f t="shared" si="1"/>
        <v>3687316</v>
      </c>
      <c r="L22" s="61">
        <f t="shared" si="1"/>
        <v>2710293</v>
      </c>
    </row>
    <row r="23" spans="2:12">
      <c r="C23" s="14"/>
    </row>
    <row r="24" spans="2:12">
      <c r="B24" s="147" t="s">
        <v>197</v>
      </c>
      <c r="C24" s="83">
        <f>C14+C22</f>
        <v>55135868</v>
      </c>
      <c r="D24" s="83">
        <f t="shared" ref="D24:L24" si="2">D14+D22</f>
        <v>215777980.43308631</v>
      </c>
      <c r="E24" s="83">
        <f t="shared" si="2"/>
        <v>201728195.27092716</v>
      </c>
      <c r="F24" s="83">
        <f t="shared" si="2"/>
        <v>202990825.35461432</v>
      </c>
      <c r="G24" s="83">
        <f t="shared" si="2"/>
        <v>205156910.97962257</v>
      </c>
      <c r="H24" s="83">
        <f t="shared" si="2"/>
        <v>207636986.08092916</v>
      </c>
      <c r="I24" s="83">
        <f t="shared" si="2"/>
        <v>210855229.85169548</v>
      </c>
      <c r="J24" s="83">
        <f t="shared" si="2"/>
        <v>213746426.85324049</v>
      </c>
      <c r="K24" s="83">
        <f t="shared" si="2"/>
        <v>216633293.85475585</v>
      </c>
      <c r="L24" s="83">
        <f t="shared" si="2"/>
        <v>219227076.93433416</v>
      </c>
    </row>
    <row r="25" spans="2:12">
      <c r="B25" s="8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87"/>
    </row>
    <row r="27" spans="2:12" ht="18">
      <c r="B27" s="106" t="s">
        <v>198</v>
      </c>
      <c r="E27" t="s">
        <v>586</v>
      </c>
    </row>
    <row r="28" spans="2:12">
      <c r="C28" s="76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8" t="s">
        <v>199</v>
      </c>
    </row>
    <row r="30" spans="2:12">
      <c r="B30" s="79" t="s">
        <v>200</v>
      </c>
      <c r="C30" s="80">
        <f>Parametros!C165</f>
        <v>9000000</v>
      </c>
      <c r="D30" s="232">
        <f>'Cuentas x Pagar'!C21</f>
        <v>13980681.045128105</v>
      </c>
      <c r="E30" s="232">
        <f>'Cuentas x Pagar'!D21</f>
        <v>14276192.91616568</v>
      </c>
      <c r="F30" s="232">
        <f>'Cuentas x Pagar'!E21</f>
        <v>14476398.03989757</v>
      </c>
      <c r="G30" s="232">
        <f>'Cuentas x Pagar'!F21</f>
        <v>14787436.228241516</v>
      </c>
      <c r="H30" s="232">
        <f>'Cuentas x Pagar'!G21</f>
        <v>15113950.279068917</v>
      </c>
      <c r="I30" s="232">
        <f>'Cuentas x Pagar'!H21</f>
        <v>15536301.693509683</v>
      </c>
      <c r="J30" s="232">
        <f>'Cuentas x Pagar'!I21</f>
        <v>15848917.240939194</v>
      </c>
      <c r="K30" s="232">
        <f>'Cuentas x Pagar'!J21</f>
        <v>16190022.032035742</v>
      </c>
      <c r="L30" s="232">
        <f>'Cuentas x Pagar'!K21</f>
        <v>16517851.764035396</v>
      </c>
    </row>
    <row r="31" spans="2:12">
      <c r="B31" s="79" t="s">
        <v>173</v>
      </c>
      <c r="C31" s="80">
        <f>Parametros!C166</f>
        <v>0</v>
      </c>
      <c r="D31" s="61">
        <f>'Flujo de caja'!C103</f>
        <v>0</v>
      </c>
      <c r="E31" s="61">
        <f>'Flujo de caja'!D103</f>
        <v>2500000</v>
      </c>
      <c r="F31" s="61">
        <f>'Flujo de caja'!E103</f>
        <v>2500000</v>
      </c>
      <c r="G31" s="61">
        <f>'Flujo de caja'!F103</f>
        <v>2500000</v>
      </c>
      <c r="H31" s="61">
        <f>'Flujo de caja'!G103</f>
        <v>2500000</v>
      </c>
      <c r="I31" s="61">
        <f>'Flujo de caja'!H103</f>
        <v>2500000</v>
      </c>
      <c r="J31" s="61">
        <f>'Flujo de caja'!I103</f>
        <v>2500000</v>
      </c>
      <c r="K31" s="61">
        <f>'Flujo de caja'!J103</f>
        <v>2500000</v>
      </c>
      <c r="L31" s="61">
        <f>'Flujo de caja'!K103</f>
        <v>2500000</v>
      </c>
    </row>
    <row r="32" spans="2:12">
      <c r="B32" s="79" t="s">
        <v>174</v>
      </c>
      <c r="C32" s="80">
        <f>Parametros!C167</f>
        <v>14000000</v>
      </c>
      <c r="D32" s="232">
        <f>'IGV e IR'!C20</f>
        <v>10694522.986636341</v>
      </c>
      <c r="E32" s="232">
        <f>'IGV e IR'!D20</f>
        <v>14580978.54452306</v>
      </c>
      <c r="F32" s="232">
        <f>'IGV e IR'!E20</f>
        <v>15061997.287627051</v>
      </c>
      <c r="G32" s="232">
        <f>'IGV e IR'!F20</f>
        <v>15371630.315805804</v>
      </c>
      <c r="H32" s="232">
        <f>'IGV e IR'!G20</f>
        <v>15707638.194665337</v>
      </c>
      <c r="I32" s="232">
        <f>'IGV e IR'!H20</f>
        <v>16138582.530444758</v>
      </c>
      <c r="J32" s="232">
        <f>'IGV e IR'!I20</f>
        <v>16473129.006710174</v>
      </c>
      <c r="K32" s="232">
        <f>'IGV e IR'!J20</f>
        <v>16825141.421952613</v>
      </c>
      <c r="L32" s="232">
        <f>'IGV e IR'!K20</f>
        <v>17169349.402734812</v>
      </c>
    </row>
    <row r="33" spans="2:12">
      <c r="B33" s="79" t="s">
        <v>201</v>
      </c>
      <c r="C33" s="80">
        <f>Parametros!C168</f>
        <v>5000000</v>
      </c>
      <c r="D33" s="61">
        <f>'Flujo de caja'!C110</f>
        <v>2013</v>
      </c>
      <c r="E33" s="61">
        <f>'Flujo de caja'!D110</f>
        <v>2014</v>
      </c>
      <c r="F33" s="61">
        <f>'Flujo de caja'!E110</f>
        <v>2015</v>
      </c>
      <c r="G33" s="61">
        <f>'Flujo de caja'!F110</f>
        <v>2016</v>
      </c>
      <c r="H33" s="61">
        <f>'Flujo de caja'!G110</f>
        <v>2017</v>
      </c>
      <c r="I33" s="61">
        <f>'Flujo de caja'!H110</f>
        <v>2018</v>
      </c>
      <c r="J33" s="61">
        <f>'Flujo de caja'!I110</f>
        <v>2019</v>
      </c>
      <c r="K33" s="61">
        <f>'Flujo de caja'!J110</f>
        <v>2020</v>
      </c>
      <c r="L33" s="61">
        <f>'Flujo de caja'!K110</f>
        <v>2021</v>
      </c>
    </row>
    <row r="34" spans="2:12">
      <c r="B34" s="79" t="s">
        <v>202</v>
      </c>
      <c r="C34" s="80">
        <f>Parametros!C169</f>
        <v>1500000</v>
      </c>
      <c r="D34" s="232"/>
      <c r="E34" s="35"/>
      <c r="F34" s="35"/>
      <c r="G34" s="35"/>
      <c r="H34" s="35"/>
      <c r="I34" s="35"/>
      <c r="J34" s="35"/>
      <c r="K34" s="35"/>
      <c r="L34" s="35"/>
    </row>
    <row r="35" spans="2:12">
      <c r="B35" s="79" t="s">
        <v>177</v>
      </c>
      <c r="C35" s="80">
        <f>Parametros!C170</f>
        <v>6000000</v>
      </c>
      <c r="D35" s="232">
        <f>'IGV e IR'!C32</f>
        <v>57479057.222311921</v>
      </c>
      <c r="E35" s="232">
        <f>'IGV e IR'!D32</f>
        <v>77279005.81170398</v>
      </c>
      <c r="F35" s="232">
        <f>'IGV e IR'!E32</f>
        <v>78449627.356543586</v>
      </c>
      <c r="G35" s="232">
        <f>'IGV e IR'!F32</f>
        <v>80069652.704032138</v>
      </c>
      <c r="H35" s="232">
        <f>'IGV e IR'!G32</f>
        <v>81570544.989825994</v>
      </c>
      <c r="I35" s="232">
        <f>'IGV e IR'!H32</f>
        <v>82734748.814375505</v>
      </c>
      <c r="J35" s="232">
        <f>'IGV e IR'!I32</f>
        <v>84720254.253693312</v>
      </c>
      <c r="K35" s="232">
        <f>'IGV e IR'!J32</f>
        <v>86083809.188227355</v>
      </c>
      <c r="L35" s="232">
        <f>'IGV e IR'!K32</f>
        <v>87155485.276364386</v>
      </c>
    </row>
    <row r="36" spans="2:12">
      <c r="B36" s="79" t="s">
        <v>178</v>
      </c>
      <c r="C36" s="80">
        <f>Parametros!C171</f>
        <v>15000000</v>
      </c>
      <c r="D36" s="232"/>
      <c r="E36" s="35"/>
      <c r="F36" s="35"/>
      <c r="G36" s="35"/>
      <c r="H36" s="35"/>
      <c r="I36" s="35"/>
      <c r="J36" s="35"/>
      <c r="K36" s="35"/>
      <c r="L36" s="35"/>
    </row>
    <row r="37" spans="2:12">
      <c r="B37" s="84" t="s">
        <v>203</v>
      </c>
      <c r="C37" s="80">
        <f>SUM(C30:C36)</f>
        <v>50500000</v>
      </c>
      <c r="D37" s="80">
        <f t="shared" ref="D37:L37" si="3">SUM(D30:D36)</f>
        <v>82156274.254076362</v>
      </c>
      <c r="E37" s="80">
        <f t="shared" si="3"/>
        <v>108638191.27239272</v>
      </c>
      <c r="F37" s="80">
        <f t="shared" si="3"/>
        <v>110490037.6840682</v>
      </c>
      <c r="G37" s="80">
        <f t="shared" si="3"/>
        <v>112730735.24807946</v>
      </c>
      <c r="H37" s="80">
        <f t="shared" si="3"/>
        <v>114894150.46356025</v>
      </c>
      <c r="I37" s="80">
        <f t="shared" si="3"/>
        <v>116911651.03832994</v>
      </c>
      <c r="J37" s="80">
        <f t="shared" si="3"/>
        <v>119544319.50134268</v>
      </c>
      <c r="K37" s="80">
        <f t="shared" si="3"/>
        <v>121600992.64221571</v>
      </c>
      <c r="L37" s="80">
        <f t="shared" si="3"/>
        <v>123344707.44313459</v>
      </c>
    </row>
    <row r="38" spans="2:12"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8" t="s">
        <v>204</v>
      </c>
    </row>
    <row r="42" spans="2:12">
      <c r="B42" s="79" t="s">
        <v>205</v>
      </c>
      <c r="C42" s="18">
        <f>Parametros!$C$172</f>
        <v>0</v>
      </c>
      <c r="D42" s="18">
        <f>Parametros!$C$172</f>
        <v>0</v>
      </c>
      <c r="E42" s="18">
        <f>Parametros!$C$172</f>
        <v>0</v>
      </c>
      <c r="F42" s="18">
        <f>Parametros!$C$172</f>
        <v>0</v>
      </c>
      <c r="G42" s="18">
        <f>Parametros!$C$172</f>
        <v>0</v>
      </c>
      <c r="H42" s="18">
        <f>Parametros!$C$172</f>
        <v>0</v>
      </c>
      <c r="I42" s="18">
        <f>Parametros!$C$172</f>
        <v>0</v>
      </c>
      <c r="J42" s="18">
        <f>Parametros!$C$172</f>
        <v>0</v>
      </c>
      <c r="K42" s="18">
        <f>Parametros!$C$172</f>
        <v>0</v>
      </c>
      <c r="L42" s="18">
        <f>Parametros!$C$172</f>
        <v>0</v>
      </c>
    </row>
    <row r="43" spans="2:12">
      <c r="B43" s="84" t="s">
        <v>206</v>
      </c>
      <c r="C43" s="61">
        <f>C42</f>
        <v>0</v>
      </c>
      <c r="D43" s="61">
        <f t="shared" ref="D43:L43" si="4">D42</f>
        <v>0</v>
      </c>
      <c r="E43" s="61">
        <f t="shared" si="4"/>
        <v>0</v>
      </c>
      <c r="F43" s="61">
        <f t="shared" si="4"/>
        <v>0</v>
      </c>
      <c r="G43" s="61">
        <f t="shared" si="4"/>
        <v>0</v>
      </c>
      <c r="H43" s="61">
        <f t="shared" si="4"/>
        <v>0</v>
      </c>
      <c r="I43" s="61">
        <f t="shared" si="4"/>
        <v>0</v>
      </c>
      <c r="J43" s="61">
        <f t="shared" si="4"/>
        <v>0</v>
      </c>
      <c r="K43" s="61">
        <f t="shared" si="4"/>
        <v>0</v>
      </c>
      <c r="L43" s="61">
        <f t="shared" si="4"/>
        <v>0</v>
      </c>
    </row>
    <row r="44" spans="2:12"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147" t="s">
        <v>207</v>
      </c>
      <c r="C45" s="83">
        <f>C43+C37</f>
        <v>50500000</v>
      </c>
      <c r="D45" s="83">
        <f t="shared" ref="D45:L45" si="5">D43+D37</f>
        <v>82156274.254076362</v>
      </c>
      <c r="E45" s="83">
        <f t="shared" si="5"/>
        <v>108638191.27239272</v>
      </c>
      <c r="F45" s="83">
        <f t="shared" si="5"/>
        <v>110490037.6840682</v>
      </c>
      <c r="G45" s="83">
        <f t="shared" si="5"/>
        <v>112730735.24807946</v>
      </c>
      <c r="H45" s="83">
        <f t="shared" si="5"/>
        <v>114894150.46356025</v>
      </c>
      <c r="I45" s="83">
        <f t="shared" si="5"/>
        <v>116911651.03832994</v>
      </c>
      <c r="J45" s="83">
        <f t="shared" si="5"/>
        <v>119544319.50134268</v>
      </c>
      <c r="K45" s="83">
        <f t="shared" si="5"/>
        <v>121600992.64221571</v>
      </c>
      <c r="L45" s="83">
        <f t="shared" si="5"/>
        <v>123344707.44313459</v>
      </c>
    </row>
    <row r="46" spans="2:12"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8" t="s">
        <v>208</v>
      </c>
    </row>
    <row r="48" spans="2:12">
      <c r="B48" s="79" t="s">
        <v>182</v>
      </c>
      <c r="C48" s="80">
        <f>Parametros!C175</f>
        <v>27000000</v>
      </c>
      <c r="D48" s="232">
        <f>EGP!C38</f>
        <v>27000000</v>
      </c>
      <c r="E48" s="232">
        <f>EGP!D38</f>
        <v>27000000</v>
      </c>
      <c r="F48" s="232">
        <f>EGP!E38</f>
        <v>27000000</v>
      </c>
      <c r="G48" s="232">
        <f>EGP!F38</f>
        <v>27000000</v>
      </c>
      <c r="H48" s="232">
        <f>EGP!G38</f>
        <v>27000000</v>
      </c>
      <c r="I48" s="232">
        <f>EGP!H38</f>
        <v>27000000</v>
      </c>
      <c r="J48" s="232">
        <f>EGP!I38</f>
        <v>27000000</v>
      </c>
      <c r="K48" s="232">
        <f>EGP!J38</f>
        <v>27000000</v>
      </c>
      <c r="L48" s="232">
        <f>EGP!K38</f>
        <v>27000000</v>
      </c>
    </row>
    <row r="49" spans="2:12">
      <c r="B49" s="79" t="s">
        <v>183</v>
      </c>
      <c r="C49" s="80">
        <f>Parametros!C176</f>
        <v>5390000</v>
      </c>
      <c r="D49" s="232">
        <f>EGP!C2+C49</f>
        <v>5390000</v>
      </c>
      <c r="E49" s="232">
        <f>EGP!D2+D49</f>
        <v>5390000</v>
      </c>
      <c r="F49" s="232">
        <f>EGP!E2+E49</f>
        <v>5390000</v>
      </c>
      <c r="G49" s="232">
        <f>EGP!F2+F49</f>
        <v>5390000</v>
      </c>
      <c r="H49" s="232">
        <f>EGP!G2+G49</f>
        <v>5390000</v>
      </c>
      <c r="I49" s="232">
        <f>EGP!H2+H49</f>
        <v>5390000</v>
      </c>
      <c r="J49" s="232">
        <f>EGP!I2+I49</f>
        <v>5390000</v>
      </c>
      <c r="K49" s="232">
        <f>EGP!J2+J49</f>
        <v>5390000</v>
      </c>
      <c r="L49" s="232">
        <f>EGP!K2+K49</f>
        <v>5390000</v>
      </c>
    </row>
    <row r="50" spans="2:12">
      <c r="B50" s="79" t="s">
        <v>184</v>
      </c>
      <c r="C50" s="80">
        <f>Parametros!C177</f>
        <v>30000000</v>
      </c>
      <c r="D50" s="232">
        <f>EGP!C28</f>
        <v>-57479057.222311921</v>
      </c>
      <c r="E50" s="232">
        <f>EGP!D28</f>
        <v>-134758063.03401589</v>
      </c>
      <c r="F50" s="232">
        <f>EGP!E28</f>
        <v>-213207690.39055949</v>
      </c>
      <c r="G50" s="232">
        <f>EGP!F28</f>
        <v>-293277343.09459162</v>
      </c>
      <c r="H50" s="232">
        <f>EGP!G28</f>
        <v>-374847888.08441758</v>
      </c>
      <c r="I50" s="232">
        <f>EGP!H28</f>
        <v>-457582636.8987931</v>
      </c>
      <c r="J50" s="232">
        <f>EGP!I28</f>
        <v>-542302891.15248644</v>
      </c>
      <c r="K50" s="232">
        <f>EGP!J28</f>
        <v>-628386700.34071374</v>
      </c>
      <c r="L50" s="232">
        <f>EGP!K28</f>
        <v>-715542185.61707807</v>
      </c>
    </row>
    <row r="51" spans="2:12">
      <c r="B51" s="147" t="s">
        <v>209</v>
      </c>
      <c r="C51" s="83">
        <f>SUM(C48:C50)</f>
        <v>62390000</v>
      </c>
      <c r="D51" s="83">
        <f t="shared" ref="D51:L51" si="6">SUM(D48:D50)</f>
        <v>-25089057.222311921</v>
      </c>
      <c r="E51" s="83">
        <f t="shared" si="6"/>
        <v>-102368063.03401589</v>
      </c>
      <c r="F51" s="83">
        <f t="shared" si="6"/>
        <v>-180817690.39055949</v>
      </c>
      <c r="G51" s="83">
        <f t="shared" si="6"/>
        <v>-260887343.09459162</v>
      </c>
      <c r="H51" s="83">
        <f t="shared" si="6"/>
        <v>-342457888.08441758</v>
      </c>
      <c r="I51" s="83">
        <f t="shared" si="6"/>
        <v>-425192636.8987931</v>
      </c>
      <c r="J51" s="83">
        <f t="shared" si="6"/>
        <v>-509912891.15248644</v>
      </c>
      <c r="K51" s="83">
        <f t="shared" si="6"/>
        <v>-595996700.34071374</v>
      </c>
      <c r="L51" s="83">
        <f t="shared" si="6"/>
        <v>-683152185.61707807</v>
      </c>
    </row>
    <row r="52" spans="2:12"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148" t="s">
        <v>210</v>
      </c>
      <c r="C53" s="83">
        <f>C51+C45</f>
        <v>112890000</v>
      </c>
      <c r="D53" s="83">
        <f t="shared" ref="D53:L53" si="7">D51+D45</f>
        <v>57067217.03176444</v>
      </c>
      <c r="E53" s="83">
        <f t="shared" si="7"/>
        <v>6270128.238376826</v>
      </c>
      <c r="F53" s="83">
        <f t="shared" si="7"/>
        <v>-70327652.706491292</v>
      </c>
      <c r="G53" s="83">
        <f t="shared" si="7"/>
        <v>-148156607.84651214</v>
      </c>
      <c r="H53" s="83">
        <f t="shared" si="7"/>
        <v>-227563737.62085733</v>
      </c>
      <c r="I53" s="83">
        <f t="shared" si="7"/>
        <v>-308280985.86046314</v>
      </c>
      <c r="J53" s="83">
        <f t="shared" si="7"/>
        <v>-390368571.65114379</v>
      </c>
      <c r="K53" s="83">
        <f t="shared" si="7"/>
        <v>-474395707.69849801</v>
      </c>
      <c r="L53" s="83">
        <f t="shared" si="7"/>
        <v>-559807478.17394352</v>
      </c>
    </row>
    <row r="54" spans="2:12">
      <c r="C54" s="76"/>
      <c r="D54" s="76"/>
      <c r="E54" s="76"/>
      <c r="F54" s="76"/>
      <c r="G54" s="76"/>
      <c r="H54" s="76"/>
      <c r="I54" s="76"/>
      <c r="J54" s="76"/>
      <c r="K54" s="76"/>
      <c r="L54" s="76"/>
    </row>
    <row r="55" spans="2:12">
      <c r="C55" s="76"/>
      <c r="D55" s="76"/>
      <c r="E55" s="76"/>
      <c r="F55" s="76"/>
      <c r="G55" s="76"/>
      <c r="H55" s="76"/>
      <c r="I55" s="76"/>
      <c r="J55" s="76"/>
      <c r="K55" s="76"/>
      <c r="L55" s="76"/>
    </row>
    <row r="56" spans="2:12"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148" t="s">
        <v>211</v>
      </c>
      <c r="C57" s="83">
        <f>C24-C53</f>
        <v>-57754132</v>
      </c>
      <c r="D57" s="83">
        <f t="shared" ref="D57:L57" si="8">D24-D53</f>
        <v>158710763.40132186</v>
      </c>
      <c r="E57" s="83">
        <f t="shared" si="8"/>
        <v>195458067.03255033</v>
      </c>
      <c r="F57" s="83">
        <f t="shared" si="8"/>
        <v>273318478.06110561</v>
      </c>
      <c r="G57" s="83">
        <f t="shared" si="8"/>
        <v>353313518.82613468</v>
      </c>
      <c r="H57" s="83">
        <f t="shared" si="8"/>
        <v>435200723.70178652</v>
      </c>
      <c r="I57" s="83">
        <f t="shared" si="8"/>
        <v>519136215.71215862</v>
      </c>
      <c r="J57" s="83">
        <f t="shared" si="8"/>
        <v>604114998.50438428</v>
      </c>
      <c r="K57" s="83">
        <f t="shared" si="8"/>
        <v>691029001.55325389</v>
      </c>
      <c r="L57" s="83">
        <f t="shared" si="8"/>
        <v>779034555.10827768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zoomScale="85" zoomScaleNormal="85" zoomScalePageLayoutView="85" workbookViewId="0">
      <selection activeCell="F25" sqref="F25"/>
    </sheetView>
  </sheetViews>
  <sheetFormatPr baseColWidth="10" defaultRowHeight="15" x14ac:dyDescent="0"/>
  <cols>
    <col min="5" max="5" width="12" customWidth="1"/>
    <col min="6" max="6" width="12.6640625" customWidth="1"/>
    <col min="7" max="7" width="13.5" customWidth="1"/>
    <col min="8" max="9" width="15" customWidth="1"/>
    <col min="10" max="11" width="9.5" customWidth="1"/>
    <col min="12" max="12" width="11.1640625" customWidth="1"/>
  </cols>
  <sheetData>
    <row r="2" spans="2:17" ht="18">
      <c r="B2" s="28" t="s">
        <v>476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2:17" ht="18">
      <c r="B3" s="28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2:17" ht="18">
      <c r="B4" s="28"/>
      <c r="C4" s="324" t="s">
        <v>285</v>
      </c>
      <c r="D4" s="325"/>
      <c r="E4" s="325"/>
      <c r="F4" s="326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2:17" ht="18">
      <c r="B5" s="28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2:17" ht="18">
      <c r="B6" s="28"/>
      <c r="C6" s="322" t="s">
        <v>286</v>
      </c>
      <c r="D6" s="323"/>
      <c r="E6" s="155">
        <v>0.3</v>
      </c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2:17">
      <c r="B7" s="10"/>
      <c r="C7" s="322" t="s">
        <v>287</v>
      </c>
      <c r="D7" s="323"/>
      <c r="E7" s="155">
        <v>0.2</v>
      </c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2:17">
      <c r="B8" s="10"/>
      <c r="C8" s="322" t="s">
        <v>288</v>
      </c>
      <c r="D8" s="323"/>
      <c r="E8" s="155">
        <v>0.3</v>
      </c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2:17">
      <c r="B9" s="10"/>
      <c r="C9" s="322" t="s">
        <v>289</v>
      </c>
      <c r="D9" s="323"/>
      <c r="E9" s="155">
        <v>0.2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2:17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7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17">
      <c r="B12" s="10"/>
      <c r="C12" s="69"/>
      <c r="D12" s="142"/>
      <c r="J12" s="321" t="s">
        <v>104</v>
      </c>
      <c r="K12" s="321"/>
      <c r="L12" s="321"/>
      <c r="M12" s="10"/>
      <c r="N12" s="10"/>
      <c r="O12" s="10"/>
      <c r="P12" s="10"/>
    </row>
    <row r="13" spans="2:17" ht="82.5" customHeight="1">
      <c r="B13" s="10"/>
      <c r="C13" s="69"/>
      <c r="D13" s="168" t="s">
        <v>105</v>
      </c>
      <c r="E13" s="106" t="s">
        <v>477</v>
      </c>
      <c r="F13" s="106" t="s">
        <v>478</v>
      </c>
      <c r="G13" s="106" t="s">
        <v>479</v>
      </c>
      <c r="H13" s="106" t="s">
        <v>480</v>
      </c>
      <c r="J13" s="106" t="s">
        <v>481</v>
      </c>
      <c r="K13" s="106" t="s">
        <v>482</v>
      </c>
      <c r="L13" s="106" t="s">
        <v>483</v>
      </c>
      <c r="M13" s="141" t="s">
        <v>106</v>
      </c>
      <c r="N13" s="10"/>
      <c r="O13" s="10"/>
      <c r="P13" s="10"/>
    </row>
    <row r="14" spans="2:17">
      <c r="B14" s="10"/>
      <c r="C14" s="318" t="s">
        <v>107</v>
      </c>
      <c r="D14" s="151" t="s">
        <v>32</v>
      </c>
      <c r="E14" s="235">
        <v>2.9411764705882355</v>
      </c>
      <c r="F14" s="235">
        <v>2.9411764705882355</v>
      </c>
      <c r="G14" s="235">
        <v>2.9411764705882355</v>
      </c>
      <c r="H14" s="235">
        <v>2.9411764705882355</v>
      </c>
      <c r="I14" s="238"/>
      <c r="J14" s="239">
        <f t="shared" ref="J14:J26" si="0">E14*$E$6+F14*$E$7+G14*$E$8+H14*$E$9</f>
        <v>2.9411764705882355</v>
      </c>
      <c r="K14" s="235">
        <v>2.9</v>
      </c>
      <c r="L14" s="235">
        <v>3</v>
      </c>
      <c r="M14" s="143" t="s">
        <v>108</v>
      </c>
      <c r="N14" s="60"/>
      <c r="O14" s="70"/>
      <c r="P14" s="70"/>
      <c r="Q14" s="70"/>
    </row>
    <row r="15" spans="2:17">
      <c r="B15" s="10"/>
      <c r="C15" s="319"/>
      <c r="D15" s="151" t="s">
        <v>33</v>
      </c>
      <c r="E15" s="235">
        <v>5.1470588235294121</v>
      </c>
      <c r="F15" s="235">
        <v>5.1470588235294121</v>
      </c>
      <c r="G15" s="235">
        <v>5.1470588235294121</v>
      </c>
      <c r="H15" s="235">
        <v>5.1470588235294121</v>
      </c>
      <c r="I15" s="238"/>
      <c r="J15" s="239">
        <f t="shared" si="0"/>
        <v>5.1470588235294121</v>
      </c>
      <c r="K15" s="235">
        <v>4.0999999999999996</v>
      </c>
      <c r="L15" s="235">
        <v>4</v>
      </c>
      <c r="M15" s="143" t="s">
        <v>108</v>
      </c>
      <c r="N15" s="60"/>
      <c r="O15" s="70"/>
      <c r="P15" s="70"/>
      <c r="Q15" s="70"/>
    </row>
    <row r="16" spans="2:17">
      <c r="B16" s="10"/>
      <c r="C16" s="319"/>
      <c r="D16" s="151" t="s">
        <v>34</v>
      </c>
      <c r="E16" s="235">
        <v>0.58823529411764708</v>
      </c>
      <c r="F16" s="235">
        <v>0.58823529411764708</v>
      </c>
      <c r="G16" s="235">
        <v>0.88235294117647056</v>
      </c>
      <c r="H16" s="235">
        <v>0.88235294117647056</v>
      </c>
      <c r="I16" s="238"/>
      <c r="J16" s="239">
        <f t="shared" si="0"/>
        <v>0.73529411764705888</v>
      </c>
      <c r="K16" s="235">
        <v>1</v>
      </c>
      <c r="L16" s="235">
        <v>2</v>
      </c>
      <c r="M16" s="143" t="s">
        <v>40</v>
      </c>
      <c r="N16" s="60"/>
      <c r="O16" s="70"/>
      <c r="P16" s="70"/>
      <c r="Q16" s="70"/>
    </row>
    <row r="17" spans="2:17">
      <c r="B17" s="10"/>
      <c r="C17" s="319"/>
      <c r="D17" s="151" t="s">
        <v>35</v>
      </c>
      <c r="E17" s="235">
        <v>2.2058823529411766</v>
      </c>
      <c r="F17" s="235">
        <v>2.2058823529411766</v>
      </c>
      <c r="G17" s="235"/>
      <c r="H17" s="235"/>
      <c r="I17" s="238"/>
      <c r="J17" s="239">
        <f t="shared" si="0"/>
        <v>1.1029411764705883</v>
      </c>
      <c r="K17" s="235">
        <v>1</v>
      </c>
      <c r="L17" s="235">
        <v>1</v>
      </c>
      <c r="M17" s="143" t="s">
        <v>108</v>
      </c>
      <c r="N17" s="60"/>
      <c r="O17" s="70"/>
      <c r="P17" s="70"/>
      <c r="Q17" s="70"/>
    </row>
    <row r="18" spans="2:17">
      <c r="B18" s="10"/>
      <c r="C18" s="319"/>
      <c r="D18" s="151" t="s">
        <v>36</v>
      </c>
      <c r="E18" s="235"/>
      <c r="F18" s="235"/>
      <c r="G18" s="235">
        <v>2.2058823529411766</v>
      </c>
      <c r="H18" s="235">
        <v>2.2058823529411766</v>
      </c>
      <c r="I18" s="238"/>
      <c r="J18" s="239">
        <f t="shared" si="0"/>
        <v>1.1029411764705883</v>
      </c>
      <c r="K18" s="235">
        <v>1</v>
      </c>
      <c r="L18" s="235"/>
      <c r="M18" s="143" t="s">
        <v>112</v>
      </c>
      <c r="N18" s="60"/>
      <c r="O18" s="70"/>
      <c r="P18" s="70"/>
      <c r="Q18" s="70"/>
    </row>
    <row r="19" spans="2:17">
      <c r="B19" s="10"/>
      <c r="C19" s="319"/>
      <c r="D19" s="151" t="s">
        <v>110</v>
      </c>
      <c r="E19" s="235"/>
      <c r="F19" s="235"/>
      <c r="G19" s="235"/>
      <c r="H19" s="235"/>
      <c r="I19" s="238"/>
      <c r="J19" s="239"/>
      <c r="K19" s="235">
        <v>1</v>
      </c>
      <c r="L19" s="235">
        <v>1</v>
      </c>
      <c r="M19" s="143" t="s">
        <v>108</v>
      </c>
      <c r="N19" s="60"/>
      <c r="O19" s="70"/>
      <c r="P19" s="70"/>
      <c r="Q19" s="70"/>
    </row>
    <row r="20" spans="2:17">
      <c r="B20" s="10"/>
      <c r="C20" s="319"/>
      <c r="D20" s="151" t="s">
        <v>111</v>
      </c>
      <c r="E20" s="235">
        <v>0.14705882352941177</v>
      </c>
      <c r="F20" s="235">
        <v>0.14705882352941177</v>
      </c>
      <c r="G20" s="235">
        <v>0.14705882352941177</v>
      </c>
      <c r="H20" s="235">
        <v>0.14705882352941177</v>
      </c>
      <c r="I20" s="238"/>
      <c r="J20" s="239">
        <f t="shared" si="0"/>
        <v>0.14705882352941177</v>
      </c>
      <c r="K20" s="235">
        <v>0.25</v>
      </c>
      <c r="L20" s="235">
        <v>0.15</v>
      </c>
      <c r="M20" s="143" t="s">
        <v>108</v>
      </c>
      <c r="N20" s="60"/>
      <c r="O20" s="70"/>
      <c r="P20" s="70"/>
      <c r="Q20" s="70"/>
    </row>
    <row r="21" spans="2:17">
      <c r="B21" s="10"/>
      <c r="C21" s="319"/>
      <c r="D21" s="151" t="s">
        <v>43</v>
      </c>
      <c r="E21" s="235">
        <v>0.58823529411764708</v>
      </c>
      <c r="F21" s="235">
        <v>0.29411764705882354</v>
      </c>
      <c r="G21" s="235">
        <v>0.29411764705882354</v>
      </c>
      <c r="H21" s="235">
        <v>0.29411764705882354</v>
      </c>
      <c r="I21" s="238"/>
      <c r="J21" s="239">
        <f t="shared" si="0"/>
        <v>0.38235294117647062</v>
      </c>
      <c r="K21" s="235"/>
      <c r="L21" s="235"/>
      <c r="M21" s="143" t="s">
        <v>108</v>
      </c>
      <c r="N21" s="60"/>
      <c r="O21" s="70"/>
      <c r="P21" s="70"/>
      <c r="Q21" s="70"/>
    </row>
    <row r="22" spans="2:17">
      <c r="B22" s="10"/>
      <c r="C22" s="319"/>
      <c r="D22" s="151" t="s">
        <v>37</v>
      </c>
      <c r="E22" s="235"/>
      <c r="F22" s="235"/>
      <c r="G22" s="235"/>
      <c r="H22" s="235"/>
      <c r="I22" s="238"/>
      <c r="J22" s="239"/>
      <c r="K22" s="235"/>
      <c r="L22" s="235">
        <v>0.25</v>
      </c>
      <c r="M22" s="143" t="s">
        <v>112</v>
      </c>
      <c r="N22" s="60"/>
      <c r="O22" s="70"/>
      <c r="P22" s="70"/>
      <c r="Q22" s="70"/>
    </row>
    <row r="23" spans="2:17">
      <c r="B23" s="10"/>
      <c r="C23" s="320"/>
      <c r="D23" s="151" t="s">
        <v>38</v>
      </c>
      <c r="E23" s="235">
        <v>8</v>
      </c>
      <c r="F23" s="235">
        <v>8</v>
      </c>
      <c r="G23" s="235">
        <v>8</v>
      </c>
      <c r="H23" s="235">
        <v>8</v>
      </c>
      <c r="I23" s="238"/>
      <c r="J23" s="239">
        <f t="shared" si="0"/>
        <v>8</v>
      </c>
      <c r="K23" s="235">
        <v>7</v>
      </c>
      <c r="L23" s="235">
        <v>6</v>
      </c>
      <c r="M23" s="143" t="s">
        <v>490</v>
      </c>
      <c r="N23" s="60"/>
      <c r="O23" s="247"/>
      <c r="P23" s="247"/>
      <c r="Q23" s="247"/>
    </row>
    <row r="24" spans="2:17" ht="17" customHeight="1">
      <c r="B24" s="10"/>
      <c r="C24" s="316" t="s">
        <v>113</v>
      </c>
      <c r="D24" s="152" t="s">
        <v>405</v>
      </c>
      <c r="E24" s="297">
        <v>0.5</v>
      </c>
      <c r="F24" s="297">
        <v>0.4</v>
      </c>
      <c r="G24" s="297">
        <v>0.5</v>
      </c>
      <c r="H24" s="297">
        <v>0.5</v>
      </c>
      <c r="I24" s="238"/>
      <c r="J24" s="235">
        <f t="shared" si="0"/>
        <v>0.48</v>
      </c>
      <c r="K24" s="297">
        <v>0.5</v>
      </c>
      <c r="L24" s="298">
        <v>0.5</v>
      </c>
      <c r="M24" s="143" t="s">
        <v>47</v>
      </c>
      <c r="N24" s="10"/>
      <c r="O24" s="70"/>
      <c r="P24" s="70"/>
    </row>
    <row r="25" spans="2:17">
      <c r="B25" s="10"/>
      <c r="C25" s="316"/>
      <c r="D25" s="152" t="s">
        <v>21</v>
      </c>
      <c r="E25" s="297">
        <v>0.75</v>
      </c>
      <c r="F25" s="297">
        <v>0.5</v>
      </c>
      <c r="G25" s="297">
        <v>0.5</v>
      </c>
      <c r="H25" s="297">
        <v>0.75</v>
      </c>
      <c r="I25" s="238"/>
      <c r="J25" s="235">
        <f t="shared" si="0"/>
        <v>0.625</v>
      </c>
      <c r="K25" s="299">
        <v>0.7</v>
      </c>
      <c r="L25" s="300">
        <v>0.7</v>
      </c>
      <c r="M25" s="143" t="s">
        <v>47</v>
      </c>
      <c r="N25" s="10"/>
      <c r="O25" s="70"/>
      <c r="P25" s="70"/>
    </row>
    <row r="26" spans="2:17">
      <c r="B26" s="10"/>
      <c r="C26" s="317"/>
      <c r="D26" s="152" t="s">
        <v>22</v>
      </c>
      <c r="E26" s="297">
        <v>0.75</v>
      </c>
      <c r="F26" s="297">
        <v>0.5</v>
      </c>
      <c r="G26" s="297">
        <v>0.5</v>
      </c>
      <c r="H26" s="297">
        <v>0.75</v>
      </c>
      <c r="I26" s="238"/>
      <c r="J26" s="235">
        <f t="shared" si="0"/>
        <v>0.625</v>
      </c>
      <c r="K26" s="299">
        <v>0.7</v>
      </c>
      <c r="L26" s="300">
        <v>0.5</v>
      </c>
      <c r="M26" s="143" t="s">
        <v>47</v>
      </c>
      <c r="N26" s="10"/>
      <c r="O26" s="70"/>
      <c r="P26" s="70"/>
    </row>
    <row r="27" spans="2:17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2:17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2:17">
      <c r="E29" s="236"/>
      <c r="F29" s="236"/>
      <c r="G29" s="236"/>
      <c r="H29" s="236"/>
      <c r="J29" s="236"/>
      <c r="K29" s="236"/>
      <c r="L29" s="236"/>
    </row>
    <row r="30" spans="2:17">
      <c r="E30" s="236"/>
      <c r="F30" s="236"/>
      <c r="G30" s="236"/>
      <c r="H30" s="236"/>
    </row>
    <row r="31" spans="2:17">
      <c r="E31" s="236"/>
      <c r="F31" s="236"/>
      <c r="G31" s="236"/>
      <c r="H31" s="236"/>
    </row>
    <row r="32" spans="2:17" ht="23" customHeight="1">
      <c r="E32" s="236"/>
      <c r="F32" s="236"/>
      <c r="G32" s="236"/>
      <c r="H32" s="236"/>
    </row>
    <row r="33" spans="5:8">
      <c r="E33" s="236"/>
      <c r="F33" s="236"/>
      <c r="G33" s="236"/>
      <c r="H33" s="236"/>
    </row>
    <row r="34" spans="5:8" ht="21" customHeight="1">
      <c r="E34" s="236"/>
      <c r="F34" s="236"/>
      <c r="G34" s="236"/>
      <c r="H34" s="236"/>
    </row>
    <row r="35" spans="5:8" ht="21" customHeight="1">
      <c r="E35" s="236"/>
      <c r="F35" s="236"/>
      <c r="G35" s="236"/>
      <c r="H35" s="236"/>
    </row>
    <row r="36" spans="5:8" ht="21" customHeight="1">
      <c r="E36" s="236"/>
      <c r="F36" s="236"/>
      <c r="G36" s="236"/>
      <c r="H36" s="236"/>
    </row>
    <row r="37" spans="5:8" ht="21" customHeight="1">
      <c r="E37" s="236"/>
      <c r="F37" s="236"/>
      <c r="G37" s="236"/>
      <c r="H37" s="236"/>
    </row>
    <row r="38" spans="5:8">
      <c r="E38" s="246"/>
      <c r="F38" s="246"/>
      <c r="G38" s="246"/>
      <c r="H38" s="246"/>
    </row>
  </sheetData>
  <mergeCells count="8">
    <mergeCell ref="C24:C26"/>
    <mergeCell ref="C14:C23"/>
    <mergeCell ref="J12:L12"/>
    <mergeCell ref="C9:D9"/>
    <mergeCell ref="C4:F4"/>
    <mergeCell ref="C6:D6"/>
    <mergeCell ref="C7:D7"/>
    <mergeCell ref="C8:D8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="85" zoomScaleNormal="85" zoomScalePageLayoutView="85" workbookViewId="0">
      <selection activeCell="C34" sqref="C34"/>
    </sheetView>
  </sheetViews>
  <sheetFormatPr baseColWidth="10" defaultRowHeight="15" x14ac:dyDescent="0"/>
  <cols>
    <col min="2" max="2" width="21.6640625" customWidth="1"/>
    <col min="3" max="11" width="13.6640625" customWidth="1"/>
  </cols>
  <sheetData>
    <row r="2" spans="2:16" ht="18">
      <c r="B2" s="28" t="s">
        <v>234</v>
      </c>
    </row>
    <row r="4" spans="2:16" ht="18">
      <c r="B4" s="28" t="s">
        <v>492</v>
      </c>
    </row>
    <row r="6" spans="2:16" ht="18">
      <c r="B6" s="106" t="s">
        <v>81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6">
      <c r="B7" s="41" t="str">
        <f>Parametros!B13</f>
        <v xml:space="preserve">Grissini </v>
      </c>
      <c r="C7" s="22">
        <f>Parametros!$D$13*(1+Variables!C7)</f>
        <v>737300</v>
      </c>
      <c r="D7" s="22">
        <f>C7*(1+Variables!D7)</f>
        <v>745410.29999999993</v>
      </c>
      <c r="E7" s="22">
        <f>D7*(1+Variables!E7)</f>
        <v>749137.35149999987</v>
      </c>
      <c r="F7" s="22">
        <f>E7*(1+Variables!F7)</f>
        <v>756628.72501499986</v>
      </c>
      <c r="G7" s="22">
        <f>F7*(1+Variables!G7)</f>
        <v>764195.01226514985</v>
      </c>
      <c r="H7" s="22">
        <f>G7*(1+Variables!H7)</f>
        <v>773365.35241233162</v>
      </c>
      <c r="I7" s="22">
        <f>H7*(1+Variables!I7)</f>
        <v>781099.00593645498</v>
      </c>
      <c r="J7" s="22">
        <f>I7*(1+Variables!J7)</f>
        <v>790472.19400769239</v>
      </c>
      <c r="K7" s="22">
        <f>J7*(1+Variables!K7)</f>
        <v>798376.9159477693</v>
      </c>
    </row>
    <row r="8" spans="2:16">
      <c r="B8" s="41" t="str">
        <f>Parametros!B14</f>
        <v>Kamish</v>
      </c>
      <c r="C8" s="22">
        <f>Parametros!$D$14*(1+Variables!C8)</f>
        <v>629299.99999999988</v>
      </c>
      <c r="D8" s="22">
        <f>C8*(1+Variables!D8)</f>
        <v>636851.59999999986</v>
      </c>
      <c r="E8" s="22">
        <f>D8*(1+Variables!E8)</f>
        <v>643220.11599999992</v>
      </c>
      <c r="F8" s="22">
        <f>E8*(1+Variables!F8)</f>
        <v>649652.31715999998</v>
      </c>
      <c r="G8" s="22">
        <f>F8*(1+Variables!G8)</f>
        <v>656798.49264875986</v>
      </c>
      <c r="H8" s="22">
        <f>G8*(1+Variables!H8)</f>
        <v>666650.47003849118</v>
      </c>
      <c r="I8" s="22">
        <f>H8*(1+Variables!I8)</f>
        <v>673983.62520891451</v>
      </c>
      <c r="J8" s="22">
        <f>I8*(1+Variables!J8)</f>
        <v>680723.46146100364</v>
      </c>
      <c r="K8" s="22">
        <f>J8*(1+Variables!K8)</f>
        <v>687530.69607561373</v>
      </c>
    </row>
    <row r="9" spans="2:16">
      <c r="B9" s="41" t="str">
        <f>Parametros!B15</f>
        <v>Roscas con pisco</v>
      </c>
      <c r="C9" s="22">
        <f>Parametros!$D$15*(1+Variables!C9)</f>
        <v>505000</v>
      </c>
      <c r="D9" s="22">
        <f>C9*(1+Variables!D9)</f>
        <v>510554.99999999994</v>
      </c>
      <c r="E9" s="22">
        <f>D9*(1+Variables!E9)</f>
        <v>517192.21499999991</v>
      </c>
      <c r="F9" s="22">
        <f>E9*(1+Variables!F9)</f>
        <v>524174.30990249995</v>
      </c>
      <c r="G9" s="22">
        <f>F9*(1+Variables!G9)</f>
        <v>530464.40162132995</v>
      </c>
      <c r="H9" s="22">
        <f>G9*(1+Variables!H9)</f>
        <v>535769.0456375432</v>
      </c>
      <c r="I9" s="22">
        <f>H9*(1+Variables!I9)</f>
        <v>541126.73609391868</v>
      </c>
      <c r="J9" s="22">
        <f>I9*(1+Variables!J9)</f>
        <v>547620.25692704576</v>
      </c>
      <c r="K9" s="22">
        <f>J9*(1+Variables!K9)</f>
        <v>553644.07975324325</v>
      </c>
    </row>
    <row r="10" spans="2:16">
      <c r="B10" s="20"/>
      <c r="C10" s="21"/>
      <c r="D10" s="21"/>
      <c r="E10" s="21"/>
      <c r="F10" s="21"/>
      <c r="G10" s="21"/>
      <c r="H10" s="21"/>
      <c r="I10" s="21"/>
      <c r="J10" s="21"/>
      <c r="K10" s="21"/>
    </row>
    <row r="11" spans="2:16" ht="18">
      <c r="B11" s="25" t="s">
        <v>292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2:16">
      <c r="B12" s="20"/>
      <c r="C12" s="21"/>
      <c r="D12" s="21"/>
      <c r="E12" s="21"/>
      <c r="F12" s="21"/>
      <c r="G12" s="21"/>
      <c r="H12" s="21"/>
      <c r="I12" s="21"/>
      <c r="J12" s="21"/>
      <c r="K12" s="21"/>
    </row>
    <row r="13" spans="2:16" ht="18">
      <c r="B13" s="106" t="s">
        <v>81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2:16">
      <c r="B14" s="41" t="str">
        <f>B7</f>
        <v xml:space="preserve">Grissini </v>
      </c>
      <c r="C14" s="19">
        <f>Parametros!D7*(Variables!$C$14+1)</f>
        <v>101</v>
      </c>
      <c r="D14" s="19">
        <f>C14*(1+Variables!$D$14)</f>
        <v>102.11099999999999</v>
      </c>
      <c r="E14" s="19">
        <f>D14*(1+Variables!E14)</f>
        <v>103.64266499999998</v>
      </c>
      <c r="F14" s="19">
        <f>E14*(1+Variables!F14)</f>
        <v>104.67909164999998</v>
      </c>
      <c r="G14" s="19">
        <f>F14*(1+Variables!G14)</f>
        <v>105.83056165814996</v>
      </c>
      <c r="H14" s="19">
        <f>G14*(1+Variables!H14)</f>
        <v>107.4180200830222</v>
      </c>
      <c r="I14" s="19">
        <f>H14*(1+Variables!I14)</f>
        <v>108.49220028385243</v>
      </c>
      <c r="J14" s="19">
        <f>I14*(1+Variables!J14)</f>
        <v>109.57712228669095</v>
      </c>
      <c r="K14" s="19">
        <f>J14*(1+Variables!K14)</f>
        <v>110.67289350955787</v>
      </c>
    </row>
    <row r="15" spans="2:16">
      <c r="B15" s="41" t="str">
        <f t="shared" ref="B15:B16" si="0">B8</f>
        <v>Kamish</v>
      </c>
      <c r="C15" s="19">
        <f>Parametros!D8*(Variables!$C$14+1)</f>
        <v>95.95</v>
      </c>
      <c r="D15" s="19">
        <f>C15*(1+Variables!D14)</f>
        <v>97.005449999999996</v>
      </c>
      <c r="E15" s="19">
        <f>D15*(1+Variables!E14)</f>
        <v>98.460531749999987</v>
      </c>
      <c r="F15" s="19">
        <f>E15*(1+Variables!F14)</f>
        <v>99.445137067499985</v>
      </c>
      <c r="G15" s="19">
        <f>F15*(1+Variables!G14)</f>
        <v>100.53903357524247</v>
      </c>
      <c r="H15" s="19">
        <f>G15*(1+Variables!H14)</f>
        <v>102.04711907887109</v>
      </c>
      <c r="I15" s="19">
        <f>H15*(1+Variables!I14)</f>
        <v>103.0675902696598</v>
      </c>
      <c r="J15" s="19">
        <f>I15*(1+Variables!J14)</f>
        <v>104.0982661723564</v>
      </c>
      <c r="K15" s="19">
        <f>J15*(1+Variables!K14)</f>
        <v>105.13924883407996</v>
      </c>
      <c r="P15" s="127"/>
    </row>
    <row r="16" spans="2:16">
      <c r="B16" s="41" t="str">
        <f t="shared" si="0"/>
        <v>Roscas con pisco</v>
      </c>
      <c r="C16" s="19">
        <f>Parametros!D9*(Variables!$C$14+1)</f>
        <v>90.9</v>
      </c>
      <c r="D16" s="19">
        <f>C16*(1+Variables!D14)</f>
        <v>91.899900000000002</v>
      </c>
      <c r="E16" s="19">
        <f>D16*(1+Variables!E14)</f>
        <v>93.278398499999994</v>
      </c>
      <c r="F16" s="19">
        <f>E16*(1+Variables!F14)</f>
        <v>94.211182484999995</v>
      </c>
      <c r="G16" s="19">
        <f>F16*(1+Variables!G14)</f>
        <v>95.24750549233498</v>
      </c>
      <c r="H16" s="19">
        <f>G16*(1+Variables!H14)</f>
        <v>96.676218074719998</v>
      </c>
      <c r="I16" s="19">
        <f>H16*(1+Variables!I14)</f>
        <v>97.642980255467194</v>
      </c>
      <c r="J16" s="19">
        <f>I16*(1+Variables!J14)</f>
        <v>98.61941005802187</v>
      </c>
      <c r="K16" s="19">
        <f>J16*(1+Variables!K14)</f>
        <v>99.605604158602091</v>
      </c>
    </row>
    <row r="17" spans="2:11"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2:11" ht="18">
      <c r="B18" s="25" t="s">
        <v>88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2:11"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2:11" ht="18">
      <c r="B20" s="106" t="s">
        <v>81</v>
      </c>
      <c r="C20" s="106">
        <v>2013</v>
      </c>
      <c r="D20" s="106">
        <v>2014</v>
      </c>
      <c r="E20" s="106">
        <v>2015</v>
      </c>
      <c r="F20" s="106">
        <v>2016</v>
      </c>
      <c r="G20" s="106">
        <v>2017</v>
      </c>
      <c r="H20" s="106">
        <v>2018</v>
      </c>
      <c r="I20" s="106">
        <v>2019</v>
      </c>
      <c r="J20" s="106">
        <v>2020</v>
      </c>
      <c r="K20" s="106">
        <v>2021</v>
      </c>
    </row>
    <row r="21" spans="2:11">
      <c r="B21" s="41" t="str">
        <f>B14</f>
        <v xml:space="preserve">Grissini </v>
      </c>
      <c r="C21" s="22">
        <f>C7*C14/(1+ Parametros!$C$126)</f>
        <v>63107881.355932206</v>
      </c>
      <c r="D21" s="22">
        <f>D7*D14/(1+ Parametros!$C$126)</f>
        <v>64503890.799406767</v>
      </c>
      <c r="E21" s="22">
        <f>E7*E14/(1+ Parametros!$C$126)</f>
        <v>65798806.407204852</v>
      </c>
      <c r="F21" s="22">
        <f>F7*F14/(1+ Parametros!$C$126)</f>
        <v>67121362.415989667</v>
      </c>
      <c r="G21" s="22">
        <f>G7*G14/(1+ Parametros!$C$126)</f>
        <v>68538294.376591191</v>
      </c>
      <c r="H21" s="22">
        <f>H7*H14/(1+ Parametros!$C$126)</f>
        <v>70401165.217746943</v>
      </c>
      <c r="I21" s="22">
        <f>I7*I14/(1+ Parametros!$C$126)</f>
        <v>71816228.638623655</v>
      </c>
      <c r="J21" s="22">
        <f>J7*J14/(1+ Parametros!$C$126)</f>
        <v>73404803.616110012</v>
      </c>
      <c r="K21" s="22">
        <f>K7*K14/(1+ Parametros!$C$126)</f>
        <v>74880240.168793812</v>
      </c>
    </row>
    <row r="22" spans="2:11">
      <c r="B22" s="41" t="str">
        <f t="shared" ref="B22:B23" si="1">B15</f>
        <v>Kamish</v>
      </c>
      <c r="C22" s="22">
        <f>C8*C15/(1+ Parametros!$C$126)</f>
        <v>51170622.881355926</v>
      </c>
      <c r="D22" s="22">
        <f>D8*D15/(1+ Parametros!$C$126)</f>
        <v>52354301.729847446</v>
      </c>
      <c r="E22" s="22">
        <f>E8*E15/(1+ Parametros!$C$126)</f>
        <v>53671012.418353111</v>
      </c>
      <c r="F22" s="22">
        <f>F8*F15/(1+ Parametros!$C$126)</f>
        <v>54749799.767962016</v>
      </c>
      <c r="G22" s="22">
        <f>G8*G15/(1+ Parametros!$C$126)</f>
        <v>55960920.088629082</v>
      </c>
      <c r="H22" s="22">
        <f>H8*H15/(1+ Parametros!$C$126)</f>
        <v>57652338.898307882</v>
      </c>
      <c r="I22" s="22">
        <f>I8*I15/(1+ Parametros!$C$126)</f>
        <v>58869379.772451155</v>
      </c>
      <c r="J22" s="22">
        <f>J8*J15/(1+ Parametros!$C$126)</f>
        <v>60052654.305877425</v>
      </c>
      <c r="K22" s="22">
        <f>K8*K15/(1+ Parametros!$C$126)</f>
        <v>61259712.657425553</v>
      </c>
    </row>
    <row r="23" spans="2:11">
      <c r="B23" s="41" t="str">
        <f t="shared" si="1"/>
        <v>Roscas con pisco</v>
      </c>
      <c r="C23" s="22">
        <f>C9*C16/(1+ Parametros!$C$126)</f>
        <v>38902118.644067802</v>
      </c>
      <c r="D23" s="22">
        <f>D9*D16/(1+ Parametros!$C$126)</f>
        <v>39762672.410593219</v>
      </c>
      <c r="E23" s="22">
        <f>E9*E16/(1+ Parametros!$C$126)</f>
        <v>40883780.959209889</v>
      </c>
      <c r="F23" s="22">
        <f>F9*F16/(1+ Parametros!$C$126)</f>
        <v>41850069.12218082</v>
      </c>
      <c r="G23" s="22">
        <f>G9*G16/(1+ Parametros!$C$126)</f>
        <v>42818144.9211151</v>
      </c>
      <c r="H23" s="22">
        <f>H9*H16/(1+ Parametros!$C$126)</f>
        <v>43895021.265881136</v>
      </c>
      <c r="I23" s="22">
        <f>I9*I16/(1+ Parametros!$C$126)</f>
        <v>44777311.193325348</v>
      </c>
      <c r="J23" s="22">
        <f>J9*J16/(1+ Parametros!$C$126)</f>
        <v>45767785.316921711</v>
      </c>
      <c r="K23" s="22">
        <f>K9*K16/(1+ Parametros!$C$126)</f>
        <v>46733943.264961928</v>
      </c>
    </row>
    <row r="24" spans="2:11">
      <c r="B24" s="29"/>
      <c r="C24" s="30"/>
      <c r="D24" s="30"/>
      <c r="E24" s="30"/>
      <c r="F24" s="30"/>
      <c r="G24" s="30"/>
      <c r="H24" s="30"/>
      <c r="I24" s="30"/>
      <c r="J24" s="30"/>
      <c r="K24" s="30"/>
    </row>
    <row r="25" spans="2:11" ht="28">
      <c r="B25" s="156" t="s">
        <v>92</v>
      </c>
      <c r="C25" s="137">
        <f>SUM(C21:C23)</f>
        <v>153180622.88135594</v>
      </c>
      <c r="D25" s="137">
        <f t="shared" ref="D25:K25" si="2">SUM(D21:D23)</f>
        <v>156620864.93984744</v>
      </c>
      <c r="E25" s="137">
        <f t="shared" si="2"/>
        <v>160353599.78476787</v>
      </c>
      <c r="F25" s="137">
        <f t="shared" si="2"/>
        <v>163721231.3061325</v>
      </c>
      <c r="G25" s="137">
        <f t="shared" si="2"/>
        <v>167317359.38633537</v>
      </c>
      <c r="H25" s="137">
        <f t="shared" si="2"/>
        <v>171948525.38193595</v>
      </c>
      <c r="I25" s="137">
        <f t="shared" si="2"/>
        <v>175462919.60440016</v>
      </c>
      <c r="J25" s="137">
        <f t="shared" si="2"/>
        <v>179225243.23890916</v>
      </c>
      <c r="K25" s="137">
        <f t="shared" si="2"/>
        <v>182873896.09118131</v>
      </c>
    </row>
    <row r="26" spans="2:11"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2:11" ht="18">
      <c r="B27" s="25" t="s">
        <v>89</v>
      </c>
      <c r="C27" s="20"/>
      <c r="D27" s="20"/>
      <c r="E27" s="20"/>
      <c r="F27" s="20"/>
      <c r="G27" s="20"/>
      <c r="H27" s="20"/>
      <c r="I27" s="20"/>
      <c r="J27" s="20"/>
      <c r="K27" s="20"/>
    </row>
    <row r="28" spans="2:11"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2:11" ht="18">
      <c r="B29" s="106" t="s">
        <v>81</v>
      </c>
      <c r="C29" s="106">
        <v>2013</v>
      </c>
      <c r="D29" s="106">
        <v>2014</v>
      </c>
      <c r="E29" s="106">
        <v>2015</v>
      </c>
      <c r="F29" s="106">
        <v>2016</v>
      </c>
      <c r="G29" s="106">
        <v>2017</v>
      </c>
      <c r="H29" s="106">
        <v>2018</v>
      </c>
      <c r="I29" s="106">
        <v>2019</v>
      </c>
      <c r="J29" s="106">
        <v>2020</v>
      </c>
      <c r="K29" s="106">
        <v>2021</v>
      </c>
    </row>
    <row r="30" spans="2:11">
      <c r="B30" s="41" t="str">
        <f>B21</f>
        <v xml:space="preserve">Grissini </v>
      </c>
      <c r="C30" s="22">
        <f>C21*(1+Parametros!$C$126)</f>
        <v>74467300</v>
      </c>
      <c r="D30" s="22">
        <f>D21*(1+Parametros!$C$126)</f>
        <v>76114591.143299982</v>
      </c>
      <c r="E30" s="22">
        <f>E21*(1+Parametros!$C$126)</f>
        <v>77642591.560501724</v>
      </c>
      <c r="F30" s="22">
        <f>F21*(1+Parametros!$C$126)</f>
        <v>79203207.650867805</v>
      </c>
      <c r="G30" s="22">
        <f>G21*(1+Parametros!$C$126)</f>
        <v>80875187.364377603</v>
      </c>
      <c r="H30" s="22">
        <f>H21*(1+Parametros!$C$126)</f>
        <v>83073374.956941396</v>
      </c>
      <c r="I30" s="22">
        <f>I21*(1+Parametros!$C$126)</f>
        <v>84743149.793575913</v>
      </c>
      <c r="J30" s="22">
        <f>J21*(1+Parametros!$C$126)</f>
        <v>86617668.26700981</v>
      </c>
      <c r="K30" s="22">
        <f>K21*(1+Parametros!$C$126)</f>
        <v>88358683.399176687</v>
      </c>
    </row>
    <row r="31" spans="2:11">
      <c r="B31" s="41" t="str">
        <f t="shared" ref="B31:B32" si="3">B22</f>
        <v>Kamish</v>
      </c>
      <c r="C31" s="22">
        <f>C22*(1+Parametros!$C$126)</f>
        <v>60381334.999999993</v>
      </c>
      <c r="D31" s="22">
        <f>D22*(1+Parametros!$C$126)</f>
        <v>61778076.04121998</v>
      </c>
      <c r="E31" s="22">
        <f>E22*(1+Parametros!$C$126)</f>
        <v>63331794.653656669</v>
      </c>
      <c r="F31" s="22">
        <f>F22*(1+Parametros!$C$126)</f>
        <v>64604763.726195179</v>
      </c>
      <c r="G31" s="22">
        <f>G22*(1+Parametros!$C$126)</f>
        <v>66033885.704582311</v>
      </c>
      <c r="H31" s="22">
        <f>H22*(1+Parametros!$C$126)</f>
        <v>68029759.900003299</v>
      </c>
      <c r="I31" s="22">
        <f>I22*(1+Parametros!$C$126)</f>
        <v>69465868.131492361</v>
      </c>
      <c r="J31" s="22">
        <f>J22*(1+Parametros!$C$126)</f>
        <v>70862132.080935359</v>
      </c>
      <c r="K31" s="22">
        <f>K22*(1+Parametros!$C$126)</f>
        <v>72286460.935762152</v>
      </c>
    </row>
    <row r="32" spans="2:11">
      <c r="B32" s="41" t="str">
        <f t="shared" si="3"/>
        <v>Roscas con pisco</v>
      </c>
      <c r="C32" s="22">
        <f>C23*(1+Parametros!$C$126)</f>
        <v>45904500</v>
      </c>
      <c r="D32" s="22">
        <f>D23*(1+Parametros!$C$126)</f>
        <v>46919953.444499999</v>
      </c>
      <c r="E32" s="22">
        <f>E23*(1+Parametros!$C$126)</f>
        <v>48242861.531867668</v>
      </c>
      <c r="F32" s="22">
        <f>F23*(1+Parametros!$C$126)</f>
        <v>49383081.564173363</v>
      </c>
      <c r="G32" s="22">
        <f>G23*(1+Parametros!$C$126)</f>
        <v>50525411.006915815</v>
      </c>
      <c r="H32" s="22">
        <f>H23*(1+Parametros!$C$126)</f>
        <v>51796125.093739741</v>
      </c>
      <c r="I32" s="22">
        <f>I23*(1+Parametros!$C$126)</f>
        <v>52837227.208123907</v>
      </c>
      <c r="J32" s="22">
        <f>J23*(1+Parametros!$C$126)</f>
        <v>54005986.673967615</v>
      </c>
      <c r="K32" s="22">
        <f>K23*(1+Parametros!$C$126)</f>
        <v>55146053.052655071</v>
      </c>
    </row>
    <row r="34" spans="2:11" ht="28">
      <c r="B34" s="149" t="s">
        <v>93</v>
      </c>
      <c r="C34" s="138">
        <f>SUM(C30:C32)</f>
        <v>180753135</v>
      </c>
      <c r="D34" s="138">
        <f t="shared" ref="D34:K34" si="4">SUM(D30:D32)</f>
        <v>184812620.62901995</v>
      </c>
      <c r="E34" s="138">
        <f t="shared" si="4"/>
        <v>189217247.74602604</v>
      </c>
      <c r="F34" s="138">
        <f t="shared" si="4"/>
        <v>193191052.94123635</v>
      </c>
      <c r="G34" s="138">
        <f t="shared" si="4"/>
        <v>197434484.07587573</v>
      </c>
      <c r="H34" s="138">
        <f t="shared" si="4"/>
        <v>202899259.95068443</v>
      </c>
      <c r="I34" s="138">
        <f t="shared" si="4"/>
        <v>207046245.13319218</v>
      </c>
      <c r="J34" s="138">
        <f t="shared" si="4"/>
        <v>211485787.02191275</v>
      </c>
      <c r="K34" s="138">
        <f t="shared" si="4"/>
        <v>215791197.3875939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16" workbookViewId="0">
      <selection activeCell="G46" sqref="G46"/>
    </sheetView>
  </sheetViews>
  <sheetFormatPr baseColWidth="10" defaultRowHeight="15" x14ac:dyDescent="0"/>
  <cols>
    <col min="2" max="2" width="15.83203125" customWidth="1"/>
    <col min="3" max="3" width="17" customWidth="1"/>
    <col min="4" max="11" width="13.6640625" customWidth="1"/>
  </cols>
  <sheetData>
    <row r="2" spans="2:13" ht="20">
      <c r="B2" s="28" t="s">
        <v>235</v>
      </c>
      <c r="C2" s="37"/>
      <c r="D2" s="36"/>
      <c r="E2" s="37"/>
      <c r="F2" s="37"/>
      <c r="G2" s="37"/>
      <c r="H2" s="37"/>
      <c r="I2" s="37"/>
      <c r="J2" s="37"/>
      <c r="K2" s="37"/>
      <c r="L2" s="37"/>
      <c r="M2" s="37"/>
    </row>
    <row r="3" spans="2:13" ht="20">
      <c r="B3" s="38"/>
      <c r="C3" s="37"/>
      <c r="D3" s="38"/>
      <c r="E3" s="37"/>
      <c r="F3" s="37"/>
      <c r="G3" s="37"/>
      <c r="H3" s="37"/>
      <c r="I3" s="37"/>
      <c r="J3" s="37"/>
      <c r="K3" s="37"/>
      <c r="L3" s="37"/>
      <c r="M3" s="37"/>
    </row>
    <row r="4" spans="2:13" ht="20">
      <c r="B4" s="39" t="s">
        <v>293</v>
      </c>
      <c r="C4" s="37"/>
      <c r="D4" s="38"/>
      <c r="E4" s="37"/>
      <c r="F4" s="37"/>
      <c r="G4" s="37"/>
      <c r="H4" s="37"/>
      <c r="I4" s="37"/>
      <c r="J4" s="37"/>
      <c r="K4" s="37"/>
      <c r="L4" s="37"/>
      <c r="M4" s="37"/>
    </row>
    <row r="5" spans="2:13" ht="20">
      <c r="B5" s="37"/>
      <c r="C5" s="38"/>
      <c r="D5" s="38"/>
      <c r="E5" s="37"/>
      <c r="F5" s="37"/>
      <c r="G5" s="37"/>
      <c r="H5" s="37"/>
      <c r="I5" s="37"/>
      <c r="J5" s="37"/>
      <c r="K5" s="37"/>
      <c r="L5" s="37"/>
      <c r="M5" s="37"/>
    </row>
    <row r="6" spans="2:13" ht="18">
      <c r="B6" s="40" t="s">
        <v>94</v>
      </c>
      <c r="C6" s="106" t="str">
        <f>Parametros!B7</f>
        <v xml:space="preserve">Grissini </v>
      </c>
      <c r="D6" s="106">
        <v>2013</v>
      </c>
      <c r="E6" s="106">
        <v>2014</v>
      </c>
      <c r="F6" s="106">
        <v>2015</v>
      </c>
      <c r="G6" s="106">
        <v>2016</v>
      </c>
      <c r="H6" s="106">
        <v>2017</v>
      </c>
      <c r="I6" s="106">
        <v>2018</v>
      </c>
      <c r="J6" s="106">
        <v>2019</v>
      </c>
      <c r="K6" s="106">
        <v>2020</v>
      </c>
      <c r="L6" s="106">
        <v>2021</v>
      </c>
      <c r="M6" s="37"/>
    </row>
    <row r="7" spans="2:13">
      <c r="B7" s="37"/>
      <c r="C7" s="41" t="s">
        <v>95</v>
      </c>
      <c r="D7" s="42">
        <f>Parametros!E13</f>
        <v>60000</v>
      </c>
      <c r="E7" s="42">
        <f>D10</f>
        <v>61441.666666666628</v>
      </c>
      <c r="F7" s="42">
        <f t="shared" ref="F7:L7" si="0">E10</f>
        <v>62117.525000000023</v>
      </c>
      <c r="G7" s="42">
        <f t="shared" si="0"/>
        <v>62428.112624999951</v>
      </c>
      <c r="H7" s="42">
        <f t="shared" si="0"/>
        <v>63052.393751249998</v>
      </c>
      <c r="I7" s="42">
        <f t="shared" si="0"/>
        <v>63682.91768876242</v>
      </c>
      <c r="J7" s="42">
        <f t="shared" si="0"/>
        <v>64447.112701027654</v>
      </c>
      <c r="K7" s="42">
        <f t="shared" si="0"/>
        <v>65091.583828037954</v>
      </c>
      <c r="L7" s="42">
        <f t="shared" si="0"/>
        <v>65872.682833974366</v>
      </c>
      <c r="M7" s="37"/>
    </row>
    <row r="8" spans="2:13">
      <c r="B8" s="37"/>
      <c r="C8" s="41" t="s">
        <v>96</v>
      </c>
      <c r="D8" s="42">
        <f>IF(D13&lt;0,0,D13)</f>
        <v>738741.66666666663</v>
      </c>
      <c r="E8" s="42">
        <f t="shared" ref="E8:L8" si="1">IF(E13&lt;0,0,E13)</f>
        <v>746086.15833333333</v>
      </c>
      <c r="F8" s="42">
        <f t="shared" si="1"/>
        <v>749447.9391249998</v>
      </c>
      <c r="G8" s="42">
        <f t="shared" si="1"/>
        <v>757253.00614124991</v>
      </c>
      <c r="H8" s="42">
        <f t="shared" si="1"/>
        <v>764825.53620266228</v>
      </c>
      <c r="I8" s="42">
        <f t="shared" si="1"/>
        <v>774129.54742459685</v>
      </c>
      <c r="J8" s="42">
        <f t="shared" si="1"/>
        <v>781743.47706346528</v>
      </c>
      <c r="K8" s="42">
        <f t="shared" si="1"/>
        <v>791253.29301362881</v>
      </c>
      <c r="L8" s="42">
        <f t="shared" si="1"/>
        <v>799035.64277610905</v>
      </c>
      <c r="M8" s="37"/>
    </row>
    <row r="9" spans="2:13">
      <c r="B9" s="37"/>
      <c r="C9" s="41" t="s">
        <v>97</v>
      </c>
      <c r="D9" s="42">
        <f>'Plan de Ventas'!C7</f>
        <v>737300</v>
      </c>
      <c r="E9" s="42">
        <f>'Plan de Ventas'!D7</f>
        <v>745410.29999999993</v>
      </c>
      <c r="F9" s="42">
        <f>'Plan de Ventas'!E7</f>
        <v>749137.35149999987</v>
      </c>
      <c r="G9" s="42">
        <f>'Plan de Ventas'!F7</f>
        <v>756628.72501499986</v>
      </c>
      <c r="H9" s="42">
        <f>'Plan de Ventas'!G7</f>
        <v>764195.01226514985</v>
      </c>
      <c r="I9" s="42">
        <f>'Plan de Ventas'!H7</f>
        <v>773365.35241233162</v>
      </c>
      <c r="J9" s="42">
        <f>'Plan de Ventas'!I7</f>
        <v>781099.00593645498</v>
      </c>
      <c r="K9" s="42">
        <f>'Plan de Ventas'!J7</f>
        <v>790472.19400769239</v>
      </c>
      <c r="L9" s="42">
        <f>'Plan de Ventas'!K7</f>
        <v>798376.9159477693</v>
      </c>
      <c r="M9" s="37"/>
    </row>
    <row r="10" spans="2:13">
      <c r="B10" s="37"/>
      <c r="C10" s="41" t="s">
        <v>98</v>
      </c>
      <c r="D10" s="42">
        <f>D7+D8-D9</f>
        <v>61441.666666666628</v>
      </c>
      <c r="E10" s="42">
        <f t="shared" ref="E10:L10" si="2">E7+E8-E9</f>
        <v>62117.525000000023</v>
      </c>
      <c r="F10" s="42">
        <f t="shared" si="2"/>
        <v>62428.112624999951</v>
      </c>
      <c r="G10" s="42">
        <f t="shared" si="2"/>
        <v>63052.393751249998</v>
      </c>
      <c r="H10" s="42">
        <f t="shared" si="2"/>
        <v>63682.91768876242</v>
      </c>
      <c r="I10" s="42">
        <f t="shared" si="2"/>
        <v>64447.112701027654</v>
      </c>
      <c r="J10" s="42">
        <f t="shared" si="2"/>
        <v>65091.583828037954</v>
      </c>
      <c r="K10" s="42">
        <f t="shared" si="2"/>
        <v>65872.682833974366</v>
      </c>
      <c r="L10" s="42">
        <f t="shared" si="2"/>
        <v>66531.409662314109</v>
      </c>
      <c r="M10" s="37"/>
    </row>
    <row r="11" spans="2:13">
      <c r="B11" s="37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37"/>
    </row>
    <row r="12" spans="2:13">
      <c r="B12" s="37"/>
      <c r="C12" s="41" t="s">
        <v>99</v>
      </c>
      <c r="D12" s="242">
        <f>D9/(12*30)*Parametros!$G$13</f>
        <v>61441.666666666672</v>
      </c>
      <c r="E12" s="242">
        <f>E9/(12*30)*Parametros!$G$13</f>
        <v>62117.524999999994</v>
      </c>
      <c r="F12" s="242">
        <f>F9/(12*30)*Parametros!$G$13</f>
        <v>62428.112624999987</v>
      </c>
      <c r="G12" s="242">
        <f>G9/(12*30)*Parametros!$G$13</f>
        <v>63052.393751249991</v>
      </c>
      <c r="H12" s="242">
        <f>H9/(12*30)*Parametros!$G$13</f>
        <v>63682.917688762478</v>
      </c>
      <c r="I12" s="242">
        <f>I9/(12*30)*Parametros!$G$13</f>
        <v>64447.112701027632</v>
      </c>
      <c r="J12" s="242">
        <f>J9/(12*30)*Parametros!$G$13</f>
        <v>65091.58382803791</v>
      </c>
      <c r="K12" s="242">
        <f>K9/(12*30)*Parametros!$G$13</f>
        <v>65872.682833974366</v>
      </c>
      <c r="L12" s="242">
        <f>L9/(12*30)*Parametros!$G$13</f>
        <v>66531.409662314109</v>
      </c>
      <c r="M12" s="37"/>
    </row>
    <row r="13" spans="2:13">
      <c r="B13" s="45"/>
      <c r="C13" s="41" t="s">
        <v>100</v>
      </c>
      <c r="D13" s="42">
        <f>D9+D12-D7</f>
        <v>738741.66666666663</v>
      </c>
      <c r="E13" s="42">
        <f t="shared" ref="E13:L13" si="3">E9+E12-E7</f>
        <v>746086.15833333333</v>
      </c>
      <c r="F13" s="42">
        <f t="shared" si="3"/>
        <v>749447.9391249998</v>
      </c>
      <c r="G13" s="42">
        <f t="shared" si="3"/>
        <v>757253.00614124991</v>
      </c>
      <c r="H13" s="42">
        <f t="shared" si="3"/>
        <v>764825.53620266228</v>
      </c>
      <c r="I13" s="42">
        <f t="shared" si="3"/>
        <v>774129.54742459685</v>
      </c>
      <c r="J13" s="42">
        <f t="shared" si="3"/>
        <v>781743.47706346528</v>
      </c>
      <c r="K13" s="42">
        <f t="shared" si="3"/>
        <v>791253.29301362881</v>
      </c>
      <c r="L13" s="42">
        <f t="shared" si="3"/>
        <v>799035.64277610905</v>
      </c>
      <c r="M13" s="37"/>
    </row>
    <row r="14" spans="2:13">
      <c r="B14" s="45"/>
      <c r="C14" s="46"/>
      <c r="D14" s="45"/>
      <c r="E14" s="45"/>
      <c r="F14" s="37"/>
      <c r="G14" s="37"/>
      <c r="H14" s="37"/>
      <c r="I14" s="37"/>
      <c r="J14" s="37"/>
      <c r="K14" s="37"/>
      <c r="L14" s="37"/>
      <c r="M14" s="37"/>
    </row>
    <row r="15" spans="2:13">
      <c r="B15" s="4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2:13" ht="18">
      <c r="B16" s="40" t="s">
        <v>101</v>
      </c>
      <c r="C16" s="106" t="str">
        <f>Parametros!B8</f>
        <v>Kamish</v>
      </c>
      <c r="D16" s="106">
        <v>2013</v>
      </c>
      <c r="E16" s="106">
        <v>2014</v>
      </c>
      <c r="F16" s="106">
        <v>2015</v>
      </c>
      <c r="G16" s="106">
        <v>2016</v>
      </c>
      <c r="H16" s="106">
        <v>2017</v>
      </c>
      <c r="I16" s="106">
        <v>2018</v>
      </c>
      <c r="J16" s="106">
        <v>2019</v>
      </c>
      <c r="K16" s="106">
        <v>2020</v>
      </c>
      <c r="L16" s="106">
        <v>2021</v>
      </c>
      <c r="M16" s="37"/>
    </row>
    <row r="17" spans="2:13">
      <c r="B17" s="45"/>
      <c r="C17" s="41" t="s">
        <v>95</v>
      </c>
      <c r="D17" s="42">
        <f>Parametros!E14</f>
        <v>42000</v>
      </c>
      <c r="E17" s="42">
        <f>D20</f>
        <v>43701.388888888876</v>
      </c>
      <c r="F17" s="42">
        <f t="shared" ref="F17:L17" si="4">E20</f>
        <v>44225.805555555504</v>
      </c>
      <c r="G17" s="42">
        <f t="shared" si="4"/>
        <v>44668.063611111138</v>
      </c>
      <c r="H17" s="42">
        <f t="shared" si="4"/>
        <v>45114.744247222203</v>
      </c>
      <c r="I17" s="42">
        <f t="shared" si="4"/>
        <v>45611.006433941657</v>
      </c>
      <c r="J17" s="42">
        <f t="shared" si="4"/>
        <v>46295.171530450811</v>
      </c>
      <c r="K17" s="42">
        <f t="shared" si="4"/>
        <v>46804.418417285779</v>
      </c>
      <c r="L17" s="42">
        <f t="shared" si="4"/>
        <v>47272.462601458537</v>
      </c>
      <c r="M17" s="37"/>
    </row>
    <row r="18" spans="2:13">
      <c r="B18" s="45"/>
      <c r="C18" s="41" t="s">
        <v>96</v>
      </c>
      <c r="D18" s="42">
        <f>IF(D23&lt;0,0,D23)</f>
        <v>631001.38888888876</v>
      </c>
      <c r="E18" s="42">
        <f t="shared" ref="E18:L18" si="5">IF(E23&lt;0,0,E23)</f>
        <v>637376.01666666649</v>
      </c>
      <c r="F18" s="42">
        <f t="shared" si="5"/>
        <v>643662.37405555556</v>
      </c>
      <c r="G18" s="42">
        <f t="shared" si="5"/>
        <v>650098.99779611104</v>
      </c>
      <c r="H18" s="42">
        <f t="shared" si="5"/>
        <v>657294.75483547931</v>
      </c>
      <c r="I18" s="42">
        <f t="shared" si="5"/>
        <v>667334.63513500034</v>
      </c>
      <c r="J18" s="42">
        <f t="shared" si="5"/>
        <v>674492.87209574948</v>
      </c>
      <c r="K18" s="42">
        <f t="shared" si="5"/>
        <v>681191.5056451764</v>
      </c>
      <c r="L18" s="42">
        <f t="shared" si="5"/>
        <v>688003.42070162832</v>
      </c>
      <c r="M18" s="37"/>
    </row>
    <row r="19" spans="2:13">
      <c r="B19" s="45"/>
      <c r="C19" s="41" t="s">
        <v>97</v>
      </c>
      <c r="D19" s="42">
        <f>'Plan de Ventas'!C8</f>
        <v>629299.99999999988</v>
      </c>
      <c r="E19" s="42">
        <f>'Plan de Ventas'!D8</f>
        <v>636851.59999999986</v>
      </c>
      <c r="F19" s="42">
        <f>'Plan de Ventas'!E8</f>
        <v>643220.11599999992</v>
      </c>
      <c r="G19" s="42">
        <f>'Plan de Ventas'!F8</f>
        <v>649652.31715999998</v>
      </c>
      <c r="H19" s="42">
        <f>'Plan de Ventas'!G8</f>
        <v>656798.49264875986</v>
      </c>
      <c r="I19" s="42">
        <f>'Plan de Ventas'!H8</f>
        <v>666650.47003849118</v>
      </c>
      <c r="J19" s="42">
        <f>'Plan de Ventas'!I8</f>
        <v>673983.62520891451</v>
      </c>
      <c r="K19" s="42">
        <f>'Plan de Ventas'!J8</f>
        <v>680723.46146100364</v>
      </c>
      <c r="L19" s="42">
        <f>'Plan de Ventas'!K8</f>
        <v>687530.69607561373</v>
      </c>
      <c r="M19" s="37"/>
    </row>
    <row r="20" spans="2:13">
      <c r="B20" s="45"/>
      <c r="C20" s="41" t="s">
        <v>98</v>
      </c>
      <c r="D20" s="42">
        <f>D17+D18-D19</f>
        <v>43701.388888888876</v>
      </c>
      <c r="E20" s="42">
        <f t="shared" ref="E20:L20" si="6">E17+E18-E19</f>
        <v>44225.805555555504</v>
      </c>
      <c r="F20" s="42">
        <f t="shared" si="6"/>
        <v>44668.063611111138</v>
      </c>
      <c r="G20" s="42">
        <f t="shared" si="6"/>
        <v>45114.744247222203</v>
      </c>
      <c r="H20" s="42">
        <f t="shared" si="6"/>
        <v>45611.006433941657</v>
      </c>
      <c r="I20" s="42">
        <f t="shared" si="6"/>
        <v>46295.171530450811</v>
      </c>
      <c r="J20" s="42">
        <f t="shared" si="6"/>
        <v>46804.418417285779</v>
      </c>
      <c r="K20" s="42">
        <f t="shared" si="6"/>
        <v>47272.462601458537</v>
      </c>
      <c r="L20" s="42">
        <f t="shared" si="6"/>
        <v>47745.187227473129</v>
      </c>
      <c r="M20" s="37"/>
    </row>
    <row r="21" spans="2:13">
      <c r="B21" s="45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37"/>
    </row>
    <row r="22" spans="2:13">
      <c r="B22" s="45"/>
      <c r="C22" s="41" t="s">
        <v>99</v>
      </c>
      <c r="D22" s="242">
        <f>D19/(12*30)*Parametros!$G$14</f>
        <v>43701.388888888883</v>
      </c>
      <c r="E22" s="242">
        <f>E19/(12*30)*Parametros!$G$14</f>
        <v>44225.805555555547</v>
      </c>
      <c r="F22" s="242">
        <f>F19/(12*30)*Parametros!$G$14</f>
        <v>44668.063611111109</v>
      </c>
      <c r="G22" s="242">
        <f>G19/(12*30)*Parametros!$G$14</f>
        <v>45114.744247222225</v>
      </c>
      <c r="H22" s="242">
        <f>H19/(12*30)*Parametros!$G$14</f>
        <v>45611.006433941657</v>
      </c>
      <c r="I22" s="242">
        <f>I19/(12*30)*Parametros!$G$14</f>
        <v>46295.171530450782</v>
      </c>
      <c r="J22" s="242">
        <f>J19/(12*30)*Parametros!$G$14</f>
        <v>46804.418417285728</v>
      </c>
      <c r="K22" s="242">
        <f>K19/(12*30)*Parametros!$G$14</f>
        <v>47272.462601458588</v>
      </c>
      <c r="L22" s="242">
        <f>L19/(12*30)*Parametros!$G$14</f>
        <v>47745.187227473172</v>
      </c>
      <c r="M22" s="37"/>
    </row>
    <row r="23" spans="2:13">
      <c r="B23" s="45"/>
      <c r="C23" s="41" t="s">
        <v>100</v>
      </c>
      <c r="D23" s="47">
        <f>D19+D22-D17</f>
        <v>631001.38888888876</v>
      </c>
      <c r="E23" s="47">
        <f t="shared" ref="E23:L23" si="7">E19+E22-E17</f>
        <v>637376.01666666649</v>
      </c>
      <c r="F23" s="47">
        <f t="shared" si="7"/>
        <v>643662.37405555556</v>
      </c>
      <c r="G23" s="47">
        <f t="shared" si="7"/>
        <v>650098.99779611104</v>
      </c>
      <c r="H23" s="47">
        <f t="shared" si="7"/>
        <v>657294.75483547931</v>
      </c>
      <c r="I23" s="47">
        <f t="shared" si="7"/>
        <v>667334.63513500034</v>
      </c>
      <c r="J23" s="47">
        <f t="shared" si="7"/>
        <v>674492.87209574948</v>
      </c>
      <c r="K23" s="47">
        <f t="shared" si="7"/>
        <v>681191.5056451764</v>
      </c>
      <c r="L23" s="47">
        <f t="shared" si="7"/>
        <v>688003.42070162832</v>
      </c>
      <c r="M23" s="37"/>
    </row>
    <row r="24" spans="2:13">
      <c r="B24" s="45"/>
      <c r="C24" s="43"/>
      <c r="D24" s="48"/>
      <c r="E24" s="48"/>
      <c r="F24" s="48"/>
      <c r="G24" s="48"/>
      <c r="H24" s="48"/>
      <c r="I24" s="48"/>
      <c r="J24" s="48"/>
      <c r="K24" s="48"/>
      <c r="L24" s="48"/>
      <c r="M24" s="37"/>
    </row>
    <row r="25" spans="2:13">
      <c r="B25" s="45"/>
      <c r="C25" s="43"/>
      <c r="D25" s="48"/>
      <c r="E25" s="48"/>
      <c r="F25" s="48"/>
      <c r="G25" s="48"/>
      <c r="H25" s="48"/>
      <c r="I25" s="48"/>
      <c r="J25" s="48"/>
      <c r="K25" s="48"/>
      <c r="L25" s="48"/>
      <c r="M25" s="37"/>
    </row>
    <row r="26" spans="2:13" ht="36">
      <c r="B26" s="40" t="s">
        <v>102</v>
      </c>
      <c r="C26" s="106" t="str">
        <f>Parametros!B9</f>
        <v>Roscas con pisco</v>
      </c>
      <c r="D26" s="106">
        <v>2013</v>
      </c>
      <c r="E26" s="106">
        <v>2014</v>
      </c>
      <c r="F26" s="106">
        <v>2015</v>
      </c>
      <c r="G26" s="106">
        <v>2016</v>
      </c>
      <c r="H26" s="106">
        <v>2017</v>
      </c>
      <c r="I26" s="106">
        <v>2018</v>
      </c>
      <c r="J26" s="106">
        <v>2019</v>
      </c>
      <c r="K26" s="106">
        <v>2020</v>
      </c>
      <c r="L26" s="106">
        <v>2021</v>
      </c>
      <c r="M26" s="37"/>
    </row>
    <row r="27" spans="2:13">
      <c r="B27" s="37"/>
      <c r="C27" s="41" t="s">
        <v>95</v>
      </c>
      <c r="D27" s="42">
        <f>Parametros!E15</f>
        <v>28000</v>
      </c>
      <c r="E27" s="42">
        <f>D30</f>
        <v>28055.555555555504</v>
      </c>
      <c r="F27" s="42">
        <f t="shared" ref="F27:L27" si="8">E30</f>
        <v>28364.166666666686</v>
      </c>
      <c r="G27" s="42">
        <f t="shared" si="8"/>
        <v>28732.900833333319</v>
      </c>
      <c r="H27" s="42">
        <f t="shared" si="8"/>
        <v>29120.794994583295</v>
      </c>
      <c r="I27" s="42">
        <f t="shared" si="8"/>
        <v>29470.244534518453</v>
      </c>
      <c r="J27" s="42">
        <f t="shared" si="8"/>
        <v>29764.946979863453</v>
      </c>
      <c r="K27" s="42">
        <f t="shared" si="8"/>
        <v>30062.596449662116</v>
      </c>
      <c r="L27" s="42">
        <f t="shared" si="8"/>
        <v>30423.347607058124</v>
      </c>
      <c r="M27" s="37"/>
    </row>
    <row r="28" spans="2:13">
      <c r="B28" s="37"/>
      <c r="C28" s="41" t="s">
        <v>96</v>
      </c>
      <c r="D28" s="42">
        <f>IF(D33&lt;0,0,D33)</f>
        <v>505055.5555555555</v>
      </c>
      <c r="E28" s="42">
        <f t="shared" ref="E28:L28" si="9">IF(E33&lt;0,0,E33)</f>
        <v>510863.61111111112</v>
      </c>
      <c r="F28" s="42">
        <f t="shared" si="9"/>
        <v>517560.94916666654</v>
      </c>
      <c r="G28" s="42">
        <f t="shared" si="9"/>
        <v>524562.20406374987</v>
      </c>
      <c r="H28" s="42">
        <f t="shared" si="9"/>
        <v>530813.85116126505</v>
      </c>
      <c r="I28" s="42">
        <f t="shared" si="9"/>
        <v>536063.7480828882</v>
      </c>
      <c r="J28" s="42">
        <f t="shared" si="9"/>
        <v>541424.38556371734</v>
      </c>
      <c r="K28" s="42">
        <f t="shared" si="9"/>
        <v>547981.00808444177</v>
      </c>
      <c r="L28" s="42">
        <f t="shared" si="9"/>
        <v>553978.73657692084</v>
      </c>
      <c r="M28" s="37"/>
    </row>
    <row r="29" spans="2:13">
      <c r="B29" s="37"/>
      <c r="C29" s="41" t="s">
        <v>97</v>
      </c>
      <c r="D29" s="42">
        <f>'Plan de Ventas'!C9</f>
        <v>505000</v>
      </c>
      <c r="E29" s="42">
        <f>'Plan de Ventas'!D9</f>
        <v>510554.99999999994</v>
      </c>
      <c r="F29" s="42">
        <f>'Plan de Ventas'!E9</f>
        <v>517192.21499999991</v>
      </c>
      <c r="G29" s="42">
        <f>'Plan de Ventas'!F9</f>
        <v>524174.30990249995</v>
      </c>
      <c r="H29" s="42">
        <f>'Plan de Ventas'!G9</f>
        <v>530464.40162132995</v>
      </c>
      <c r="I29" s="42">
        <f>'Plan de Ventas'!H9</f>
        <v>535769.0456375432</v>
      </c>
      <c r="J29" s="42">
        <f>'Plan de Ventas'!I9</f>
        <v>541126.73609391868</v>
      </c>
      <c r="K29" s="42">
        <f>'Plan de Ventas'!J9</f>
        <v>547620.25692704576</v>
      </c>
      <c r="L29" s="42">
        <f>'Plan de Ventas'!K9</f>
        <v>553644.07975324325</v>
      </c>
      <c r="M29" s="37"/>
    </row>
    <row r="30" spans="2:13">
      <c r="B30" s="37"/>
      <c r="C30" s="41" t="s">
        <v>98</v>
      </c>
      <c r="D30" s="42">
        <f>D27+D28-D29</f>
        <v>28055.555555555504</v>
      </c>
      <c r="E30" s="42">
        <f t="shared" ref="E30:L30" si="10">E27+E28-E29</f>
        <v>28364.166666666686</v>
      </c>
      <c r="F30" s="42">
        <f t="shared" si="10"/>
        <v>28732.900833333319</v>
      </c>
      <c r="G30" s="42">
        <f t="shared" si="10"/>
        <v>29120.794994583295</v>
      </c>
      <c r="H30" s="42">
        <f t="shared" si="10"/>
        <v>29470.244534518453</v>
      </c>
      <c r="I30" s="42">
        <f t="shared" si="10"/>
        <v>29764.946979863453</v>
      </c>
      <c r="J30" s="42">
        <f t="shared" si="10"/>
        <v>30062.596449662116</v>
      </c>
      <c r="K30" s="42">
        <f t="shared" si="10"/>
        <v>30423.347607058124</v>
      </c>
      <c r="L30" s="42">
        <f t="shared" si="10"/>
        <v>30758.004430735717</v>
      </c>
      <c r="M30" s="37"/>
    </row>
    <row r="31" spans="2:13">
      <c r="B31" s="37"/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37"/>
    </row>
    <row r="32" spans="2:13">
      <c r="B32" s="37"/>
      <c r="C32" s="41" t="s">
        <v>99</v>
      </c>
      <c r="D32" s="242">
        <f>D29/(12*30)*Parametros!$G$15</f>
        <v>28055.555555555555</v>
      </c>
      <c r="E32" s="242">
        <f>E29/(12*30)*Parametros!$G$15</f>
        <v>28364.166666666664</v>
      </c>
      <c r="F32" s="242">
        <f>F29/(12*30)*Parametros!$G$15</f>
        <v>28732.90083333333</v>
      </c>
      <c r="G32" s="242">
        <f>G29/(12*30)*Parametros!$G$15</f>
        <v>29120.794994583332</v>
      </c>
      <c r="H32" s="242">
        <f>H29/(12*30)*Parametros!$G$15</f>
        <v>29470.24453451833</v>
      </c>
      <c r="I32" s="242">
        <f>I29/(12*30)*Parametros!$G$15</f>
        <v>29764.946979863511</v>
      </c>
      <c r="J32" s="242">
        <f>J29/(12*30)*Parametros!$G$15</f>
        <v>30062.596449662153</v>
      </c>
      <c r="K32" s="242">
        <f>K29/(12*30)*Parametros!$G$15</f>
        <v>30423.347607058098</v>
      </c>
      <c r="L32" s="242">
        <f>L29/(12*30)*Parametros!$G$15</f>
        <v>30758.004430735738</v>
      </c>
      <c r="M32" s="37"/>
    </row>
    <row r="33" spans="2:13">
      <c r="B33" s="37"/>
      <c r="C33" s="41" t="s">
        <v>100</v>
      </c>
      <c r="D33" s="47">
        <f>D29+D32-D27</f>
        <v>505055.5555555555</v>
      </c>
      <c r="E33" s="47">
        <f t="shared" ref="E33:L33" si="11">E29+E32-E27</f>
        <v>510863.61111111112</v>
      </c>
      <c r="F33" s="47">
        <f t="shared" si="11"/>
        <v>517560.94916666654</v>
      </c>
      <c r="G33" s="47">
        <f t="shared" si="11"/>
        <v>524562.20406374987</v>
      </c>
      <c r="H33" s="47">
        <f t="shared" si="11"/>
        <v>530813.85116126505</v>
      </c>
      <c r="I33" s="47">
        <f t="shared" si="11"/>
        <v>536063.7480828882</v>
      </c>
      <c r="J33" s="47">
        <f t="shared" si="11"/>
        <v>541424.38556371734</v>
      </c>
      <c r="K33" s="47">
        <f t="shared" si="11"/>
        <v>547981.00808444177</v>
      </c>
      <c r="L33" s="47">
        <f t="shared" si="11"/>
        <v>553978.73657692084</v>
      </c>
      <c r="M33" s="37"/>
    </row>
    <row r="34" spans="2:13">
      <c r="B34" s="37"/>
      <c r="C34" s="43"/>
      <c r="D34" s="48"/>
      <c r="E34" s="48"/>
      <c r="F34" s="48"/>
      <c r="G34" s="48"/>
      <c r="H34" s="48"/>
      <c r="I34" s="48"/>
      <c r="J34" s="48"/>
      <c r="K34" s="48"/>
      <c r="L34" s="48"/>
      <c r="M34" s="37"/>
    </row>
    <row r="35" spans="2:13">
      <c r="B35" s="37"/>
      <c r="C35" s="37"/>
      <c r="D35" s="45"/>
      <c r="E35" s="45"/>
      <c r="F35" s="45"/>
      <c r="G35" s="45"/>
      <c r="H35" s="45"/>
      <c r="I35" s="45"/>
      <c r="J35" s="45"/>
      <c r="K35" s="45"/>
      <c r="L35" s="45"/>
      <c r="M35" s="37"/>
    </row>
    <row r="36" spans="2:13" ht="18">
      <c r="B36" s="49" t="s">
        <v>236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2:13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2:13" ht="18">
      <c r="B38" s="37"/>
      <c r="C38" s="106" t="s">
        <v>103</v>
      </c>
      <c r="D38" s="106">
        <v>2013</v>
      </c>
      <c r="E38" s="106">
        <v>2014</v>
      </c>
      <c r="F38" s="106">
        <v>2015</v>
      </c>
      <c r="G38" s="106">
        <v>2016</v>
      </c>
      <c r="H38" s="106">
        <v>2017</v>
      </c>
      <c r="I38" s="106">
        <v>2018</v>
      </c>
      <c r="J38" s="106">
        <v>2019</v>
      </c>
      <c r="K38" s="106">
        <v>2020</v>
      </c>
      <c r="L38" s="106">
        <v>2021</v>
      </c>
      <c r="M38" s="37"/>
    </row>
    <row r="39" spans="2:13">
      <c r="B39" s="37"/>
      <c r="C39" s="41" t="str">
        <f>C6</f>
        <v xml:space="preserve">Grissini </v>
      </c>
      <c r="D39" s="47">
        <f>D8</f>
        <v>738741.66666666663</v>
      </c>
      <c r="E39" s="47">
        <f t="shared" ref="E39:L39" si="12">E8</f>
        <v>746086.15833333333</v>
      </c>
      <c r="F39" s="47">
        <f t="shared" si="12"/>
        <v>749447.9391249998</v>
      </c>
      <c r="G39" s="47">
        <f t="shared" si="12"/>
        <v>757253.00614124991</v>
      </c>
      <c r="H39" s="47">
        <f t="shared" si="12"/>
        <v>764825.53620266228</v>
      </c>
      <c r="I39" s="47">
        <f t="shared" si="12"/>
        <v>774129.54742459685</v>
      </c>
      <c r="J39" s="47">
        <f t="shared" si="12"/>
        <v>781743.47706346528</v>
      </c>
      <c r="K39" s="47">
        <f t="shared" si="12"/>
        <v>791253.29301362881</v>
      </c>
      <c r="L39" s="47">
        <f t="shared" si="12"/>
        <v>799035.64277610905</v>
      </c>
      <c r="M39" s="37"/>
    </row>
    <row r="40" spans="2:13">
      <c r="B40" s="37"/>
      <c r="C40" s="41" t="str">
        <f>C16</f>
        <v>Kamish</v>
      </c>
      <c r="D40" s="47">
        <f>D18</f>
        <v>631001.38888888876</v>
      </c>
      <c r="E40" s="47">
        <f t="shared" ref="E40:L40" si="13">E18</f>
        <v>637376.01666666649</v>
      </c>
      <c r="F40" s="47">
        <f t="shared" si="13"/>
        <v>643662.37405555556</v>
      </c>
      <c r="G40" s="47">
        <f t="shared" si="13"/>
        <v>650098.99779611104</v>
      </c>
      <c r="H40" s="47">
        <f t="shared" si="13"/>
        <v>657294.75483547931</v>
      </c>
      <c r="I40" s="47">
        <f t="shared" si="13"/>
        <v>667334.63513500034</v>
      </c>
      <c r="J40" s="47">
        <f t="shared" si="13"/>
        <v>674492.87209574948</v>
      </c>
      <c r="K40" s="47">
        <f t="shared" si="13"/>
        <v>681191.5056451764</v>
      </c>
      <c r="L40" s="47">
        <f t="shared" si="13"/>
        <v>688003.42070162832</v>
      </c>
      <c r="M40" s="37"/>
    </row>
    <row r="41" spans="2:13">
      <c r="B41" s="37"/>
      <c r="C41" s="41" t="str">
        <f>C26</f>
        <v>Roscas con pisco</v>
      </c>
      <c r="D41" s="47">
        <f>D28</f>
        <v>505055.5555555555</v>
      </c>
      <c r="E41" s="47">
        <f t="shared" ref="E41:L41" si="14">E28</f>
        <v>510863.61111111112</v>
      </c>
      <c r="F41" s="47">
        <f t="shared" si="14"/>
        <v>517560.94916666654</v>
      </c>
      <c r="G41" s="47">
        <f t="shared" si="14"/>
        <v>524562.20406374987</v>
      </c>
      <c r="H41" s="47">
        <f t="shared" si="14"/>
        <v>530813.85116126505</v>
      </c>
      <c r="I41" s="47">
        <f t="shared" si="14"/>
        <v>536063.7480828882</v>
      </c>
      <c r="J41" s="47">
        <f t="shared" si="14"/>
        <v>541424.38556371734</v>
      </c>
      <c r="K41" s="47">
        <f t="shared" si="14"/>
        <v>547981.00808444177</v>
      </c>
      <c r="L41" s="47">
        <f t="shared" si="14"/>
        <v>553978.73657692084</v>
      </c>
      <c r="M41" s="37"/>
    </row>
    <row r="42" spans="2:13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opLeftCell="A29" workbookViewId="0">
      <selection activeCell="C56" sqref="C56:L56"/>
    </sheetView>
  </sheetViews>
  <sheetFormatPr baseColWidth="10" defaultRowHeight="15" x14ac:dyDescent="0"/>
  <cols>
    <col min="2" max="2" width="15" customWidth="1"/>
    <col min="3" max="3" width="17.1640625" customWidth="1"/>
    <col min="4" max="4" width="13" customWidth="1"/>
    <col min="5" max="5" width="12.5" customWidth="1"/>
    <col min="6" max="6" width="14.6640625" customWidth="1"/>
    <col min="7" max="7" width="13.6640625" customWidth="1"/>
    <col min="8" max="8" width="12.6640625" customWidth="1"/>
    <col min="9" max="10" width="14.1640625" customWidth="1"/>
    <col min="11" max="11" width="12.5" customWidth="1"/>
    <col min="12" max="12" width="14.1640625" customWidth="1"/>
  </cols>
  <sheetData>
    <row r="2" spans="2:12" ht="20">
      <c r="B2" s="28" t="s">
        <v>290</v>
      </c>
      <c r="C2" s="31"/>
      <c r="D2" s="31"/>
      <c r="E2" s="50"/>
      <c r="F2" s="50"/>
      <c r="G2" s="50"/>
      <c r="H2" s="50"/>
      <c r="I2" s="50"/>
      <c r="J2" s="50"/>
      <c r="K2" s="50"/>
      <c r="L2" s="50"/>
    </row>
    <row r="3" spans="2:1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18">
      <c r="B4" s="34" t="s">
        <v>94</v>
      </c>
      <c r="C4" s="106" t="s">
        <v>147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B5" s="50"/>
      <c r="C5" s="23" t="s">
        <v>32</v>
      </c>
      <c r="D5" s="52">
        <f>'Plan de producción'!D39*Formulacion!$J$14</f>
        <v>2172769.6078431373</v>
      </c>
      <c r="E5" s="52">
        <f>'Plan de producción'!E39*Formulacion!$J$14</f>
        <v>2194371.0539215687</v>
      </c>
      <c r="F5" s="52">
        <f>'Plan de producción'!F39*Formulacion!$J$14</f>
        <v>2204258.6444852939</v>
      </c>
      <c r="G5" s="52">
        <f>'Plan de producción'!G39*Formulacion!$J$14</f>
        <v>2227214.7239448526</v>
      </c>
      <c r="H5" s="52">
        <f>'Plan de producción'!H39*Formulacion!$J$14</f>
        <v>2249486.8711843011</v>
      </c>
      <c r="I5" s="52">
        <f>'Plan de producción'!I39*Formulacion!$J$14</f>
        <v>2276851.6100723436</v>
      </c>
      <c r="J5" s="52">
        <f>'Plan de producción'!J39*Formulacion!$J$14</f>
        <v>2299245.5207748981</v>
      </c>
      <c r="K5" s="52">
        <f>'Plan de producción'!K39*Formulacion!$J$14</f>
        <v>2327215.5676871436</v>
      </c>
      <c r="L5" s="52">
        <f>'Plan de producción'!L39*Formulacion!$J$14</f>
        <v>2350104.8316944386</v>
      </c>
    </row>
    <row r="6" spans="2:12">
      <c r="B6" s="50"/>
      <c r="C6" s="23" t="s">
        <v>33</v>
      </c>
      <c r="D6" s="52">
        <f>'Plan de producción'!D39*Formulacion!$J$15</f>
        <v>3802346.8137254901</v>
      </c>
      <c r="E6" s="52">
        <f>'Plan de producción'!E39*Formulacion!$J$15</f>
        <v>3840149.3443627455</v>
      </c>
      <c r="F6" s="52">
        <f>'Plan de producción'!F39*Formulacion!$J$15</f>
        <v>3857452.6278492641</v>
      </c>
      <c r="G6" s="52">
        <f>'Plan de producción'!G39*Formulacion!$J$15</f>
        <v>3897625.7669034926</v>
      </c>
      <c r="H6" s="52">
        <f>'Plan de producción'!H39*Formulacion!$J$15</f>
        <v>3936602.0245725266</v>
      </c>
      <c r="I6" s="52">
        <f>'Plan de producción'!I39*Formulacion!$J$15</f>
        <v>3984490.3176266016</v>
      </c>
      <c r="J6" s="52">
        <f>'Plan de producción'!J39*Formulacion!$J$15</f>
        <v>4023679.6613560715</v>
      </c>
      <c r="K6" s="52">
        <f>'Plan de producción'!K39*Formulacion!$J$15</f>
        <v>4072627.2434525015</v>
      </c>
      <c r="L6" s="52">
        <f>'Plan de producción'!L39*Formulacion!$J$15</f>
        <v>4112683.4554652674</v>
      </c>
    </row>
    <row r="7" spans="2:12">
      <c r="B7" s="50"/>
      <c r="C7" s="23" t="s">
        <v>34</v>
      </c>
      <c r="D7" s="52">
        <f>'Plan de producción'!D39*Formulacion!$J$16</f>
        <v>543192.40196078434</v>
      </c>
      <c r="E7" s="52">
        <f>'Plan de producción'!E39*Formulacion!$J$16</f>
        <v>548592.76348039217</v>
      </c>
      <c r="F7" s="52">
        <f>'Plan de producción'!F39*Formulacion!$J$16</f>
        <v>551064.66112132347</v>
      </c>
      <c r="G7" s="52">
        <f>'Plan de producción'!G39*Formulacion!$J$16</f>
        <v>556803.68098621315</v>
      </c>
      <c r="H7" s="52">
        <f>'Plan de producción'!H39*Formulacion!$J$16</f>
        <v>562371.71779607527</v>
      </c>
      <c r="I7" s="52">
        <f>'Plan de producción'!I39*Formulacion!$J$16</f>
        <v>569212.9025180859</v>
      </c>
      <c r="J7" s="52">
        <f>'Plan de producción'!J39*Formulacion!$J$16</f>
        <v>574811.38019372453</v>
      </c>
      <c r="K7" s="52">
        <f>'Plan de producción'!K39*Formulacion!$J$16</f>
        <v>581803.89192178589</v>
      </c>
      <c r="L7" s="52">
        <f>'Plan de producción'!L39*Formulacion!$J$16</f>
        <v>587526.20792360965</v>
      </c>
    </row>
    <row r="8" spans="2:12">
      <c r="B8" s="50"/>
      <c r="C8" s="23" t="s">
        <v>35</v>
      </c>
      <c r="D8" s="52">
        <f>'Plan de producción'!D39*Formulacion!$J$17</f>
        <v>814788.6029411765</v>
      </c>
      <c r="E8" s="52">
        <f>'Plan de producción'!E39*Formulacion!$J$17</f>
        <v>822889.14522058831</v>
      </c>
      <c r="F8" s="52">
        <f>'Plan de producción'!F39*Formulacion!$J$17</f>
        <v>826596.99168198509</v>
      </c>
      <c r="G8" s="52">
        <f>'Plan de producción'!G39*Formulacion!$J$17</f>
        <v>835205.52147931978</v>
      </c>
      <c r="H8" s="52">
        <f>'Plan de producción'!H39*Formulacion!$J$17</f>
        <v>843557.57669411285</v>
      </c>
      <c r="I8" s="52">
        <f>'Plan de producción'!I39*Formulacion!$J$17</f>
        <v>853819.35377712897</v>
      </c>
      <c r="J8" s="52">
        <f>'Plan de producción'!J39*Formulacion!$J$17</f>
        <v>862217.07029058679</v>
      </c>
      <c r="K8" s="52">
        <f>'Plan de producción'!K39*Formulacion!$J$17</f>
        <v>872705.83788267884</v>
      </c>
      <c r="L8" s="52">
        <f>'Plan de producción'!L39*Formulacion!$J$17</f>
        <v>881289.31188541441</v>
      </c>
    </row>
    <row r="9" spans="2:12">
      <c r="B9" s="50"/>
      <c r="C9" s="23" t="s">
        <v>36</v>
      </c>
      <c r="D9" s="52">
        <f>'Plan de producción'!D39*Formulacion!$J$18</f>
        <v>814788.6029411765</v>
      </c>
      <c r="E9" s="52">
        <f>'Plan de producción'!E39*Formulacion!$J$18</f>
        <v>822889.14522058831</v>
      </c>
      <c r="F9" s="52">
        <f>'Plan de producción'!F39*Formulacion!$J$18</f>
        <v>826596.99168198509</v>
      </c>
      <c r="G9" s="52">
        <f>'Plan de producción'!G39*Formulacion!$J$18</f>
        <v>835205.52147931978</v>
      </c>
      <c r="H9" s="52">
        <f>'Plan de producción'!H39*Formulacion!$J$18</f>
        <v>843557.57669411285</v>
      </c>
      <c r="I9" s="52">
        <f>'Plan de producción'!I39*Formulacion!$J$18</f>
        <v>853819.35377712897</v>
      </c>
      <c r="J9" s="52">
        <f>'Plan de producción'!J39*Formulacion!$J$18</f>
        <v>862217.07029058679</v>
      </c>
      <c r="K9" s="52">
        <f>'Plan de producción'!K39*Formulacion!$J$18</f>
        <v>872705.83788267884</v>
      </c>
      <c r="L9" s="52">
        <f>'Plan de producción'!L39*Formulacion!$J$18</f>
        <v>881289.31188541441</v>
      </c>
    </row>
    <row r="10" spans="2:12">
      <c r="B10" s="50"/>
      <c r="C10" s="23" t="s">
        <v>110</v>
      </c>
      <c r="D10" s="52">
        <f>'Plan de producción'!D39*Formulacion!$J$19</f>
        <v>0</v>
      </c>
      <c r="E10" s="52">
        <f>'Plan de producción'!E39*Formulacion!$J$19</f>
        <v>0</v>
      </c>
      <c r="F10" s="52">
        <f>'Plan de producción'!F39*Formulacion!$J$19</f>
        <v>0</v>
      </c>
      <c r="G10" s="52">
        <f>'Plan de producción'!G39*Formulacion!$J$19</f>
        <v>0</v>
      </c>
      <c r="H10" s="52">
        <f>'Plan de producción'!H39*Formulacion!$J$19</f>
        <v>0</v>
      </c>
      <c r="I10" s="52">
        <f>'Plan de producción'!I39*Formulacion!$J$19</f>
        <v>0</v>
      </c>
      <c r="J10" s="52">
        <f>'Plan de producción'!J39*Formulacion!$J$19</f>
        <v>0</v>
      </c>
      <c r="K10" s="52">
        <f>'Plan de producción'!K39*Formulacion!$J$19</f>
        <v>0</v>
      </c>
      <c r="L10" s="52">
        <f>'Plan de producción'!L39*Formulacion!$J$19</f>
        <v>0</v>
      </c>
    </row>
    <row r="11" spans="2:12">
      <c r="B11" s="50"/>
      <c r="C11" s="23" t="s">
        <v>111</v>
      </c>
      <c r="D11" s="52">
        <f>'Plan de producción'!D39*Formulacion!$J$20</f>
        <v>108638.48039215687</v>
      </c>
      <c r="E11" s="52">
        <f>'Plan de producción'!E39*Formulacion!$J$20</f>
        <v>109718.55269607843</v>
      </c>
      <c r="F11" s="52">
        <f>'Plan de producción'!F39*Formulacion!$J$20</f>
        <v>110212.93222426467</v>
      </c>
      <c r="G11" s="52">
        <f>'Plan de producción'!G39*Formulacion!$J$20</f>
        <v>111360.73619724263</v>
      </c>
      <c r="H11" s="52">
        <f>'Plan de producción'!H39*Formulacion!$J$20</f>
        <v>112474.34355921505</v>
      </c>
      <c r="I11" s="52">
        <f>'Plan de producción'!I39*Formulacion!$J$20</f>
        <v>113842.58050361718</v>
      </c>
      <c r="J11" s="52">
        <f>'Plan de producción'!J39*Formulacion!$J$20</f>
        <v>114962.27603874489</v>
      </c>
      <c r="K11" s="52">
        <f>'Plan de producción'!K39*Formulacion!$J$20</f>
        <v>116360.77838435718</v>
      </c>
      <c r="L11" s="52">
        <f>'Plan de producción'!L39*Formulacion!$J$20</f>
        <v>117505.24158472192</v>
      </c>
    </row>
    <row r="12" spans="2:12">
      <c r="B12" s="50"/>
      <c r="C12" s="23" t="s">
        <v>43</v>
      </c>
      <c r="D12" s="52">
        <f>'Plan de producción'!D39*Formulacion!$J$21</f>
        <v>282460.04901960783</v>
      </c>
      <c r="E12" s="52">
        <f>'Plan de producción'!E39*Formulacion!$J$21</f>
        <v>285268.23700980394</v>
      </c>
      <c r="F12" s="52">
        <f>'Plan de producción'!F39*Formulacion!$J$21</f>
        <v>286553.62378308817</v>
      </c>
      <c r="G12" s="52">
        <f>'Plan de producción'!G39*Formulacion!$J$21</f>
        <v>289537.91411283088</v>
      </c>
      <c r="H12" s="52">
        <f>'Plan de producción'!H39*Formulacion!$J$21</f>
        <v>292433.29325395916</v>
      </c>
      <c r="I12" s="52">
        <f>'Plan de producción'!I39*Formulacion!$J$21</f>
        <v>295990.70930940472</v>
      </c>
      <c r="J12" s="52">
        <f>'Plan de producción'!J39*Formulacion!$J$21</f>
        <v>298901.91770073673</v>
      </c>
      <c r="K12" s="52">
        <f>'Plan de producción'!K39*Formulacion!$J$21</f>
        <v>302538.02379932866</v>
      </c>
      <c r="L12" s="52">
        <f>'Plan de producción'!L39*Formulacion!$J$21</f>
        <v>305513.62812027702</v>
      </c>
    </row>
    <row r="13" spans="2:12">
      <c r="B13" s="50"/>
      <c r="C13" s="23" t="s">
        <v>37</v>
      </c>
      <c r="D13" s="52">
        <f>'Plan de producción'!D39*Formulacion!$J$22</f>
        <v>0</v>
      </c>
      <c r="E13" s="52">
        <f>'Plan de producción'!E39*Formulacion!$J$22</f>
        <v>0</v>
      </c>
      <c r="F13" s="52">
        <f>'Plan de producción'!F39*Formulacion!$J$22</f>
        <v>0</v>
      </c>
      <c r="G13" s="52">
        <f>'Plan de producción'!G39*Formulacion!$J$22</f>
        <v>0</v>
      </c>
      <c r="H13" s="52">
        <f>'Plan de producción'!H39*Formulacion!$J$22</f>
        <v>0</v>
      </c>
      <c r="I13" s="52">
        <f>'Plan de producción'!I39*Formulacion!$J$22</f>
        <v>0</v>
      </c>
      <c r="J13" s="52">
        <f>'Plan de producción'!J39*Formulacion!$J$22</f>
        <v>0</v>
      </c>
      <c r="K13" s="52">
        <f>'Plan de producción'!K39*Formulacion!$J$22</f>
        <v>0</v>
      </c>
      <c r="L13" s="52">
        <f>'Plan de producción'!L39*Formulacion!$J$22</f>
        <v>0</v>
      </c>
    </row>
    <row r="14" spans="2:12">
      <c r="B14" s="50"/>
      <c r="C14" s="23" t="s">
        <v>38</v>
      </c>
      <c r="D14" s="52">
        <f>'Plan de producción'!D39*Formulacion!$J$23</f>
        <v>5909933.333333333</v>
      </c>
      <c r="E14" s="52">
        <f>'Plan de producción'!E39*Formulacion!$J$23</f>
        <v>5968689.2666666666</v>
      </c>
      <c r="F14" s="52">
        <f>'Plan de producción'!F39*Formulacion!$J$23</f>
        <v>5995583.5129999984</v>
      </c>
      <c r="G14" s="52">
        <f>'Plan de producción'!G39*Formulacion!$J$23</f>
        <v>6058024.0491299992</v>
      </c>
      <c r="H14" s="52">
        <f>'Plan de producción'!H39*Formulacion!$J$23</f>
        <v>6118604.2896212982</v>
      </c>
      <c r="I14" s="52">
        <f>'Plan de producción'!I39*Formulacion!$J$23</f>
        <v>6193036.3793967748</v>
      </c>
      <c r="J14" s="52">
        <f>'Plan de producción'!J39*Formulacion!$J$23</f>
        <v>6253947.8165077223</v>
      </c>
      <c r="K14" s="52">
        <f>'Plan de producción'!K39*Formulacion!$J$23</f>
        <v>6330026.3441090304</v>
      </c>
      <c r="L14" s="52">
        <f>'Plan de producción'!L39*Formulacion!$J$23</f>
        <v>6392285.1422088724</v>
      </c>
    </row>
    <row r="15" spans="2:12">
      <c r="B15" s="50"/>
      <c r="C15" s="50"/>
      <c r="D15" s="53"/>
      <c r="E15" s="53"/>
      <c r="F15" s="53"/>
      <c r="G15" s="53"/>
      <c r="H15" s="53"/>
      <c r="I15" s="53"/>
      <c r="J15" s="53"/>
      <c r="K15" s="53"/>
      <c r="L15" s="53"/>
    </row>
    <row r="16" spans="2:12"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2:12" ht="18">
      <c r="B17" s="34" t="s">
        <v>101</v>
      </c>
      <c r="C17" s="106" t="s">
        <v>148</v>
      </c>
      <c r="D17" s="106">
        <v>2013</v>
      </c>
      <c r="E17" s="106">
        <v>2014</v>
      </c>
      <c r="F17" s="106">
        <v>2015</v>
      </c>
      <c r="G17" s="106">
        <v>2016</v>
      </c>
      <c r="H17" s="106">
        <v>2017</v>
      </c>
      <c r="I17" s="106">
        <v>2018</v>
      </c>
      <c r="J17" s="106">
        <v>2019</v>
      </c>
      <c r="K17" s="106">
        <v>2020</v>
      </c>
      <c r="L17" s="106">
        <v>2021</v>
      </c>
    </row>
    <row r="18" spans="2:12">
      <c r="B18" s="50"/>
      <c r="C18" s="23" t="s">
        <v>32</v>
      </c>
      <c r="D18" s="52">
        <f>'Plan de producción'!D40*Formulacion!$K$14</f>
        <v>1829904.0277777773</v>
      </c>
      <c r="E18" s="52">
        <f>'Plan de producción'!E40*Formulacion!$K$14</f>
        <v>1848390.4483333328</v>
      </c>
      <c r="F18" s="52">
        <f>'Plan de producción'!F40*Formulacion!$K$14</f>
        <v>1866620.8847611111</v>
      </c>
      <c r="G18" s="52">
        <f>'Plan de producción'!G40*Formulacion!$K$14</f>
        <v>1885287.0936087219</v>
      </c>
      <c r="H18" s="52">
        <f>'Plan de producción'!H40*Formulacion!$K$14</f>
        <v>1906154.7890228899</v>
      </c>
      <c r="I18" s="52">
        <f>'Plan de producción'!I40*Formulacion!$K$14</f>
        <v>1935270.441891501</v>
      </c>
      <c r="J18" s="52">
        <f>'Plan de producción'!J40*Formulacion!$K$14</f>
        <v>1956029.3290776734</v>
      </c>
      <c r="K18" s="52">
        <f>'Plan de producción'!K40*Formulacion!$K$14</f>
        <v>1975455.3663710116</v>
      </c>
      <c r="L18" s="52">
        <f>'Plan de producción'!L40*Formulacion!$K$14</f>
        <v>1995209.920034722</v>
      </c>
    </row>
    <row r="19" spans="2:12">
      <c r="B19" s="50"/>
      <c r="C19" s="23" t="s">
        <v>33</v>
      </c>
      <c r="D19" s="52">
        <f>'Plan de producción'!D40*Formulacion!$K$15</f>
        <v>2587105.6944444436</v>
      </c>
      <c r="E19" s="52">
        <f>'Plan de producción'!E40*Formulacion!$K$15</f>
        <v>2613241.6683333325</v>
      </c>
      <c r="F19" s="52">
        <f>'Plan de producción'!F40*Formulacion!$K$15</f>
        <v>2639015.7336277775</v>
      </c>
      <c r="G19" s="52">
        <f>'Plan de producción'!G40*Formulacion!$K$15</f>
        <v>2665405.890964055</v>
      </c>
      <c r="H19" s="52">
        <f>'Plan de producción'!H40*Formulacion!$K$15</f>
        <v>2694908.4948254651</v>
      </c>
      <c r="I19" s="52">
        <f>'Plan de producción'!I40*Formulacion!$K$15</f>
        <v>2736072.0040535009</v>
      </c>
      <c r="J19" s="52">
        <f>'Plan de producción'!J40*Formulacion!$K$15</f>
        <v>2765420.7755925725</v>
      </c>
      <c r="K19" s="52">
        <f>'Plan de producción'!K40*Formulacion!$K$15</f>
        <v>2792885.1731452229</v>
      </c>
      <c r="L19" s="52">
        <f>'Plan de producción'!L40*Formulacion!$K$15</f>
        <v>2820814.024876676</v>
      </c>
    </row>
    <row r="20" spans="2:12">
      <c r="B20" s="50"/>
      <c r="C20" s="23" t="s">
        <v>34</v>
      </c>
      <c r="D20" s="52">
        <f>'Plan de producción'!D40*Formulacion!$K$16</f>
        <v>631001.38888888876</v>
      </c>
      <c r="E20" s="52">
        <f>'Plan de producción'!E40*Formulacion!$K$16</f>
        <v>637376.01666666649</v>
      </c>
      <c r="F20" s="52">
        <f>'Plan de producción'!F40*Formulacion!$K$16</f>
        <v>643662.37405555556</v>
      </c>
      <c r="G20" s="52">
        <f>'Plan de producción'!G40*Formulacion!$K$16</f>
        <v>650098.99779611104</v>
      </c>
      <c r="H20" s="52">
        <f>'Plan de producción'!H40*Formulacion!$K$16</f>
        <v>657294.75483547931</v>
      </c>
      <c r="I20" s="52">
        <f>'Plan de producción'!I40*Formulacion!$K$16</f>
        <v>667334.63513500034</v>
      </c>
      <c r="J20" s="52">
        <f>'Plan de producción'!J40*Formulacion!$K$16</f>
        <v>674492.87209574948</v>
      </c>
      <c r="K20" s="52">
        <f>'Plan de producción'!K40*Formulacion!$K$16</f>
        <v>681191.5056451764</v>
      </c>
      <c r="L20" s="52">
        <f>'Plan de producción'!L40*Formulacion!$K$16</f>
        <v>688003.42070162832</v>
      </c>
    </row>
    <row r="21" spans="2:12">
      <c r="B21" s="50"/>
      <c r="C21" s="23" t="s">
        <v>35</v>
      </c>
      <c r="D21" s="52">
        <f>'Plan de producción'!D40*Formulacion!$K$17</f>
        <v>631001.38888888876</v>
      </c>
      <c r="E21" s="52">
        <f>'Plan de producción'!E40*Formulacion!$K$17</f>
        <v>637376.01666666649</v>
      </c>
      <c r="F21" s="52">
        <f>'Plan de producción'!F40*Formulacion!$K$17</f>
        <v>643662.37405555556</v>
      </c>
      <c r="G21" s="52">
        <f>'Plan de producción'!G40*Formulacion!$K$17</f>
        <v>650098.99779611104</v>
      </c>
      <c r="H21" s="52">
        <f>'Plan de producción'!H40*Formulacion!$K$17</f>
        <v>657294.75483547931</v>
      </c>
      <c r="I21" s="52">
        <f>'Plan de producción'!I40*Formulacion!$K$17</f>
        <v>667334.63513500034</v>
      </c>
      <c r="J21" s="52">
        <f>'Plan de producción'!J40*Formulacion!$K$17</f>
        <v>674492.87209574948</v>
      </c>
      <c r="K21" s="52">
        <f>'Plan de producción'!K40*Formulacion!$K$17</f>
        <v>681191.5056451764</v>
      </c>
      <c r="L21" s="52">
        <f>'Plan de producción'!L40*Formulacion!$K$17</f>
        <v>688003.42070162832</v>
      </c>
    </row>
    <row r="22" spans="2:12">
      <c r="B22" s="50"/>
      <c r="C22" s="23" t="s">
        <v>36</v>
      </c>
      <c r="D22" s="52">
        <f>'Plan de producción'!D40*Formulacion!$K$18</f>
        <v>631001.38888888876</v>
      </c>
      <c r="E22" s="52">
        <f>'Plan de producción'!E40*Formulacion!$K$18</f>
        <v>637376.01666666649</v>
      </c>
      <c r="F22" s="52">
        <f>'Plan de producción'!F40*Formulacion!$K$18</f>
        <v>643662.37405555556</v>
      </c>
      <c r="G22" s="52">
        <f>'Plan de producción'!G40*Formulacion!$K$18</f>
        <v>650098.99779611104</v>
      </c>
      <c r="H22" s="52">
        <f>'Plan de producción'!H40*Formulacion!$K$18</f>
        <v>657294.75483547931</v>
      </c>
      <c r="I22" s="52">
        <f>'Plan de producción'!I40*Formulacion!$K$18</f>
        <v>667334.63513500034</v>
      </c>
      <c r="J22" s="52">
        <f>'Plan de producción'!J40*Formulacion!$K$18</f>
        <v>674492.87209574948</v>
      </c>
      <c r="K22" s="52">
        <f>'Plan de producción'!K40*Formulacion!$K$18</f>
        <v>681191.5056451764</v>
      </c>
      <c r="L22" s="52">
        <f>'Plan de producción'!L40*Formulacion!$K$18</f>
        <v>688003.42070162832</v>
      </c>
    </row>
    <row r="23" spans="2:12">
      <c r="B23" s="50"/>
      <c r="C23" s="23" t="s">
        <v>110</v>
      </c>
      <c r="D23" s="52">
        <f>'Plan de producción'!D40*Formulacion!$K$19</f>
        <v>631001.38888888876</v>
      </c>
      <c r="E23" s="52">
        <f>'Plan de producción'!E40*Formulacion!$K$19</f>
        <v>637376.01666666649</v>
      </c>
      <c r="F23" s="52">
        <f>'Plan de producción'!F40*Formulacion!$K$19</f>
        <v>643662.37405555556</v>
      </c>
      <c r="G23" s="52">
        <f>'Plan de producción'!G40*Formulacion!$K$19</f>
        <v>650098.99779611104</v>
      </c>
      <c r="H23" s="52">
        <f>'Plan de producción'!H40*Formulacion!$K$19</f>
        <v>657294.75483547931</v>
      </c>
      <c r="I23" s="52">
        <f>'Plan de producción'!I40*Formulacion!$K$19</f>
        <v>667334.63513500034</v>
      </c>
      <c r="J23" s="52">
        <f>'Plan de producción'!J40*Formulacion!$K$19</f>
        <v>674492.87209574948</v>
      </c>
      <c r="K23" s="52">
        <f>'Plan de producción'!K40*Formulacion!$K$19</f>
        <v>681191.5056451764</v>
      </c>
      <c r="L23" s="52">
        <f>'Plan de producción'!L40*Formulacion!$K$19</f>
        <v>688003.42070162832</v>
      </c>
    </row>
    <row r="24" spans="2:12">
      <c r="B24" s="50"/>
      <c r="C24" s="23" t="s">
        <v>111</v>
      </c>
      <c r="D24" s="52">
        <f>'Plan de producción'!D40*Formulacion!$K$20</f>
        <v>157750.34722222219</v>
      </c>
      <c r="E24" s="52">
        <f>'Plan de producción'!E40*Formulacion!$K$20</f>
        <v>159344.00416666662</v>
      </c>
      <c r="F24" s="52">
        <f>'Plan de producción'!F40*Formulacion!$K$20</f>
        <v>160915.59351388889</v>
      </c>
      <c r="G24" s="52">
        <f>'Plan de producción'!G40*Formulacion!$K$20</f>
        <v>162524.74944902776</v>
      </c>
      <c r="H24" s="52">
        <f>'Plan de producción'!H40*Formulacion!$K$20</f>
        <v>164323.68870886983</v>
      </c>
      <c r="I24" s="52">
        <f>'Plan de producción'!I40*Formulacion!$K$20</f>
        <v>166833.65878375008</v>
      </c>
      <c r="J24" s="52">
        <f>'Plan de producción'!J40*Formulacion!$K$20</f>
        <v>168623.21802393737</v>
      </c>
      <c r="K24" s="52">
        <f>'Plan de producción'!K40*Formulacion!$K$20</f>
        <v>170297.8764112941</v>
      </c>
      <c r="L24" s="52">
        <f>'Plan de producción'!L40*Formulacion!$K$20</f>
        <v>172000.85517540708</v>
      </c>
    </row>
    <row r="25" spans="2:12">
      <c r="B25" s="50"/>
      <c r="C25" s="23" t="s">
        <v>43</v>
      </c>
      <c r="D25" s="52">
        <f>'Plan de producción'!D40*Formulacion!$K$21</f>
        <v>0</v>
      </c>
      <c r="E25" s="52">
        <f>'Plan de producción'!E40*Formulacion!$K$21</f>
        <v>0</v>
      </c>
      <c r="F25" s="52">
        <f>'Plan de producción'!F40*Formulacion!$K$21</f>
        <v>0</v>
      </c>
      <c r="G25" s="52">
        <f>'Plan de producción'!G40*Formulacion!$K$21</f>
        <v>0</v>
      </c>
      <c r="H25" s="52">
        <f>'Plan de producción'!H40*Formulacion!$K$21</f>
        <v>0</v>
      </c>
      <c r="I25" s="52">
        <f>'Plan de producción'!I40*Formulacion!$K$21</f>
        <v>0</v>
      </c>
      <c r="J25" s="52">
        <f>'Plan de producción'!J40*Formulacion!$K$21</f>
        <v>0</v>
      </c>
      <c r="K25" s="52">
        <f>'Plan de producción'!K40*Formulacion!$K$21</f>
        <v>0</v>
      </c>
      <c r="L25" s="52">
        <f>'Plan de producción'!L40*Formulacion!$K$21</f>
        <v>0</v>
      </c>
    </row>
    <row r="26" spans="2:12">
      <c r="B26" s="50"/>
      <c r="C26" s="23" t="s">
        <v>37</v>
      </c>
      <c r="D26" s="52">
        <f>'Plan de producción'!D40*Formulacion!$K$22</f>
        <v>0</v>
      </c>
      <c r="E26" s="52">
        <f>'Plan de producción'!E40*Formulacion!$K$22</f>
        <v>0</v>
      </c>
      <c r="F26" s="52">
        <f>'Plan de producción'!F40*Formulacion!$K$22</f>
        <v>0</v>
      </c>
      <c r="G26" s="52">
        <f>'Plan de producción'!G40*Formulacion!$K$22</f>
        <v>0</v>
      </c>
      <c r="H26" s="52">
        <f>'Plan de producción'!H40*Formulacion!$K$22</f>
        <v>0</v>
      </c>
      <c r="I26" s="52">
        <f>'Plan de producción'!I40*Formulacion!$K$22</f>
        <v>0</v>
      </c>
      <c r="J26" s="52">
        <f>'Plan de producción'!J40*Formulacion!$K$22</f>
        <v>0</v>
      </c>
      <c r="K26" s="52">
        <f>'Plan de producción'!K40*Formulacion!$K$22</f>
        <v>0</v>
      </c>
      <c r="L26" s="52">
        <f>'Plan de producción'!L40*Formulacion!$K$22</f>
        <v>0</v>
      </c>
    </row>
    <row r="27" spans="2:12">
      <c r="B27" s="50"/>
      <c r="C27" s="23" t="s">
        <v>38</v>
      </c>
      <c r="D27" s="52">
        <f>'Plan de producción'!D40*Formulacion!$K$23</f>
        <v>4417009.7222222211</v>
      </c>
      <c r="E27" s="52">
        <f>'Plan de producción'!E40*Formulacion!$K$23</f>
        <v>4461632.1166666653</v>
      </c>
      <c r="F27" s="52">
        <f>'Plan de producción'!F40*Formulacion!$K$23</f>
        <v>4505636.6183888894</v>
      </c>
      <c r="G27" s="52">
        <f>'Plan de producción'!G40*Formulacion!$K$23</f>
        <v>4550692.9845727775</v>
      </c>
      <c r="H27" s="52">
        <f>'Plan de producción'!H40*Formulacion!$K$23</f>
        <v>4601063.2838483555</v>
      </c>
      <c r="I27" s="52">
        <f>'Plan de producción'!I40*Formulacion!$K$23</f>
        <v>4671342.4459450021</v>
      </c>
      <c r="J27" s="52">
        <f>'Plan de producción'!J40*Formulacion!$K$23</f>
        <v>4721450.1046702461</v>
      </c>
      <c r="K27" s="52">
        <f>'Plan de producción'!K40*Formulacion!$K$23</f>
        <v>4768340.5395162348</v>
      </c>
      <c r="L27" s="52">
        <f>'Plan de producción'!L40*Formulacion!$K$23</f>
        <v>4816023.944911398</v>
      </c>
    </row>
    <row r="28" spans="2:12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2:12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0" spans="2:12" ht="36">
      <c r="B30" s="34" t="s">
        <v>102</v>
      </c>
      <c r="C30" s="106" t="s">
        <v>149</v>
      </c>
      <c r="D30" s="106">
        <v>2013</v>
      </c>
      <c r="E30" s="106">
        <v>2014</v>
      </c>
      <c r="F30" s="106">
        <v>2015</v>
      </c>
      <c r="G30" s="106">
        <v>2016</v>
      </c>
      <c r="H30" s="106">
        <v>2017</v>
      </c>
      <c r="I30" s="106">
        <v>2018</v>
      </c>
      <c r="J30" s="106">
        <v>2019</v>
      </c>
      <c r="K30" s="106">
        <v>2020</v>
      </c>
      <c r="L30" s="106">
        <v>2021</v>
      </c>
    </row>
    <row r="31" spans="2:12">
      <c r="B31" s="50"/>
      <c r="C31" s="23" t="s">
        <v>32</v>
      </c>
      <c r="D31" s="52">
        <f>'Plan de producción'!D41*Formulacion!$L$14</f>
        <v>1515166.6666666665</v>
      </c>
      <c r="E31" s="52">
        <f>'Plan de producción'!E41*Formulacion!$L$14</f>
        <v>1532590.8333333335</v>
      </c>
      <c r="F31" s="52">
        <f>'Plan de producción'!F41*Formulacion!$L$14</f>
        <v>1552682.8474999997</v>
      </c>
      <c r="G31" s="52">
        <f>'Plan de producción'!G41*Formulacion!$L$14</f>
        <v>1573686.6121912496</v>
      </c>
      <c r="H31" s="52">
        <f>'Plan de producción'!H41*Formulacion!$L$14</f>
        <v>1592441.5534837951</v>
      </c>
      <c r="I31" s="52">
        <f>'Plan de producción'!I41*Formulacion!$L$14</f>
        <v>1608191.2442486645</v>
      </c>
      <c r="J31" s="52">
        <f>'Plan de producción'!J41*Formulacion!$L$14</f>
        <v>1624273.1566911521</v>
      </c>
      <c r="K31" s="52">
        <f>'Plan de producción'!K41*Formulacion!$L$14</f>
        <v>1643943.0242533253</v>
      </c>
      <c r="L31" s="52">
        <f>'Plan de producción'!L41*Formulacion!$L$14</f>
        <v>1661936.2097307625</v>
      </c>
    </row>
    <row r="32" spans="2:12">
      <c r="B32" s="50"/>
      <c r="C32" s="23" t="s">
        <v>33</v>
      </c>
      <c r="D32" s="52">
        <f>'Plan de producción'!D41*Formulacion!$L$15</f>
        <v>2020222.222222222</v>
      </c>
      <c r="E32" s="52">
        <f>'Plan de producción'!E41*Formulacion!$L$15</f>
        <v>2043454.4444444445</v>
      </c>
      <c r="F32" s="52">
        <f>'Plan de producción'!F41*Formulacion!$L$15</f>
        <v>2070243.7966666662</v>
      </c>
      <c r="G32" s="52">
        <f>'Plan de producción'!G41*Formulacion!$L$15</f>
        <v>2098248.8162549995</v>
      </c>
      <c r="H32" s="52">
        <f>'Plan de producción'!H41*Formulacion!$L$15</f>
        <v>2123255.4046450602</v>
      </c>
      <c r="I32" s="52">
        <f>'Plan de producción'!I41*Formulacion!$L$15</f>
        <v>2144254.9923315528</v>
      </c>
      <c r="J32" s="52">
        <f>'Plan de producción'!J41*Formulacion!$L$15</f>
        <v>2165697.5422548694</v>
      </c>
      <c r="K32" s="52">
        <f>'Plan de producción'!K41*Formulacion!$L$15</f>
        <v>2191924.0323377671</v>
      </c>
      <c r="L32" s="52">
        <f>'Plan de producción'!L41*Formulacion!$L$15</f>
        <v>2215914.9463076834</v>
      </c>
    </row>
    <row r="33" spans="2:12">
      <c r="B33" s="50"/>
      <c r="C33" s="23" t="s">
        <v>34</v>
      </c>
      <c r="D33" s="52">
        <f>'Plan de producción'!D41*Formulacion!$L$16</f>
        <v>1010111.111111111</v>
      </c>
      <c r="E33" s="52">
        <f>'Plan de producción'!E41*Formulacion!$L$16</f>
        <v>1021727.2222222222</v>
      </c>
      <c r="F33" s="52">
        <f>'Plan de producción'!F41*Formulacion!$L$16</f>
        <v>1035121.8983333331</v>
      </c>
      <c r="G33" s="52">
        <f>'Plan de producción'!G41*Formulacion!$L$16</f>
        <v>1049124.4081274997</v>
      </c>
      <c r="H33" s="52">
        <f>'Plan de producción'!H41*Formulacion!$L$16</f>
        <v>1061627.7023225301</v>
      </c>
      <c r="I33" s="52">
        <f>'Plan de producción'!I41*Formulacion!$L$16</f>
        <v>1072127.4961657764</v>
      </c>
      <c r="J33" s="52">
        <f>'Plan de producción'!J41*Formulacion!$L$16</f>
        <v>1082848.7711274347</v>
      </c>
      <c r="K33" s="52">
        <f>'Plan de producción'!K41*Formulacion!$L$16</f>
        <v>1095962.0161688835</v>
      </c>
      <c r="L33" s="52">
        <f>'Plan de producción'!L41*Formulacion!$L$16</f>
        <v>1107957.4731538417</v>
      </c>
    </row>
    <row r="34" spans="2:12">
      <c r="B34" s="50"/>
      <c r="C34" s="23" t="s">
        <v>35</v>
      </c>
      <c r="D34" s="52">
        <f>'Plan de producción'!D41*Formulacion!$L$17</f>
        <v>505055.5555555555</v>
      </c>
      <c r="E34" s="52">
        <f>'Plan de producción'!E41*Formulacion!$L$17</f>
        <v>510863.61111111112</v>
      </c>
      <c r="F34" s="52">
        <f>'Plan de producción'!F41*Formulacion!$L$17</f>
        <v>517560.94916666654</v>
      </c>
      <c r="G34" s="52">
        <f>'Plan de producción'!G41*Formulacion!$L$17</f>
        <v>524562.20406374987</v>
      </c>
      <c r="H34" s="52">
        <f>'Plan de producción'!H41*Formulacion!$L$17</f>
        <v>530813.85116126505</v>
      </c>
      <c r="I34" s="52">
        <f>'Plan de producción'!I41*Formulacion!$L$17</f>
        <v>536063.7480828882</v>
      </c>
      <c r="J34" s="52">
        <f>'Plan de producción'!J41*Formulacion!$L$17</f>
        <v>541424.38556371734</v>
      </c>
      <c r="K34" s="52">
        <f>'Plan de producción'!K41*Formulacion!$L$17</f>
        <v>547981.00808444177</v>
      </c>
      <c r="L34" s="52">
        <f>'Plan de producción'!L41*Formulacion!$L$17</f>
        <v>553978.73657692084</v>
      </c>
    </row>
    <row r="35" spans="2:12">
      <c r="B35" s="50"/>
      <c r="C35" s="23" t="s">
        <v>36</v>
      </c>
      <c r="D35" s="52">
        <f>'Plan de producción'!D41*Formulacion!$L$18</f>
        <v>0</v>
      </c>
      <c r="E35" s="52">
        <f>'Plan de producción'!E41*Formulacion!$L$18</f>
        <v>0</v>
      </c>
      <c r="F35" s="52">
        <f>'Plan de producción'!F41*Formulacion!$L$18</f>
        <v>0</v>
      </c>
      <c r="G35" s="52">
        <f>'Plan de producción'!G41*Formulacion!$L$18</f>
        <v>0</v>
      </c>
      <c r="H35" s="52">
        <f>'Plan de producción'!H41*Formulacion!$L$18</f>
        <v>0</v>
      </c>
      <c r="I35" s="52">
        <f>'Plan de producción'!I41*Formulacion!$L$18</f>
        <v>0</v>
      </c>
      <c r="J35" s="52">
        <f>'Plan de producción'!J41*Formulacion!$L$18</f>
        <v>0</v>
      </c>
      <c r="K35" s="52">
        <f>'Plan de producción'!K41*Formulacion!$L$18</f>
        <v>0</v>
      </c>
      <c r="L35" s="52">
        <f>'Plan de producción'!L41*Formulacion!$L$18</f>
        <v>0</v>
      </c>
    </row>
    <row r="36" spans="2:12">
      <c r="B36" s="50"/>
      <c r="C36" s="23" t="s">
        <v>110</v>
      </c>
      <c r="D36" s="52">
        <f>'Plan de producción'!D41*Formulacion!$L$19</f>
        <v>505055.5555555555</v>
      </c>
      <c r="E36" s="52">
        <f>'Plan de producción'!E41*Formulacion!$L$19</f>
        <v>510863.61111111112</v>
      </c>
      <c r="F36" s="52">
        <f>'Plan de producción'!F41*Formulacion!$L$19</f>
        <v>517560.94916666654</v>
      </c>
      <c r="G36" s="52">
        <f>'Plan de producción'!G41*Formulacion!$L$19</f>
        <v>524562.20406374987</v>
      </c>
      <c r="H36" s="52">
        <f>'Plan de producción'!H41*Formulacion!$L$19</f>
        <v>530813.85116126505</v>
      </c>
      <c r="I36" s="52">
        <f>'Plan de producción'!I41*Formulacion!$L$19</f>
        <v>536063.7480828882</v>
      </c>
      <c r="J36" s="52">
        <f>'Plan de producción'!J41*Formulacion!$L$19</f>
        <v>541424.38556371734</v>
      </c>
      <c r="K36" s="52">
        <f>'Plan de producción'!K41*Formulacion!$L$19</f>
        <v>547981.00808444177</v>
      </c>
      <c r="L36" s="52">
        <f>'Plan de producción'!L41*Formulacion!$L$19</f>
        <v>553978.73657692084</v>
      </c>
    </row>
    <row r="37" spans="2:12">
      <c r="B37" s="50"/>
      <c r="C37" s="23" t="s">
        <v>111</v>
      </c>
      <c r="D37" s="52">
        <f>'Plan de producción'!D41*Formulacion!$L$20</f>
        <v>75758.333333333328</v>
      </c>
      <c r="E37" s="52">
        <f>'Plan de producción'!E41*Formulacion!$L$20</f>
        <v>76629.541666666672</v>
      </c>
      <c r="F37" s="52">
        <f>'Plan de producción'!F41*Formulacion!$L$20</f>
        <v>77634.142374999981</v>
      </c>
      <c r="G37" s="52">
        <f>'Plan de producción'!G41*Formulacion!$L$20</f>
        <v>78684.330609562472</v>
      </c>
      <c r="H37" s="52">
        <f>'Plan de producción'!H41*Formulacion!$L$20</f>
        <v>79622.077674189757</v>
      </c>
      <c r="I37" s="52">
        <f>'Plan de producción'!I41*Formulacion!$L$20</f>
        <v>80409.562212433229</v>
      </c>
      <c r="J37" s="52">
        <f>'Plan de producción'!J41*Formulacion!$L$20</f>
        <v>81213.657834557598</v>
      </c>
      <c r="K37" s="52">
        <f>'Plan de producción'!K41*Formulacion!$L$20</f>
        <v>82197.151212666256</v>
      </c>
      <c r="L37" s="52">
        <f>'Plan de producción'!L41*Formulacion!$L$20</f>
        <v>83096.810486538117</v>
      </c>
    </row>
    <row r="38" spans="2:12">
      <c r="B38" s="50"/>
      <c r="C38" s="23" t="s">
        <v>43</v>
      </c>
      <c r="D38" s="52">
        <f>'Plan de producción'!D41*Formulacion!$L$21</f>
        <v>0</v>
      </c>
      <c r="E38" s="52">
        <f>'Plan de producción'!E41*Formulacion!$L$21</f>
        <v>0</v>
      </c>
      <c r="F38" s="52">
        <f>'Plan de producción'!F41*Formulacion!$L$21</f>
        <v>0</v>
      </c>
      <c r="G38" s="52">
        <f>'Plan de producción'!G41*Formulacion!$L$21</f>
        <v>0</v>
      </c>
      <c r="H38" s="52">
        <f>'Plan de producción'!H41*Formulacion!$L$21</f>
        <v>0</v>
      </c>
      <c r="I38" s="52">
        <f>'Plan de producción'!I41*Formulacion!$L$21</f>
        <v>0</v>
      </c>
      <c r="J38" s="52">
        <f>'Plan de producción'!J41*Formulacion!$L$21</f>
        <v>0</v>
      </c>
      <c r="K38" s="52">
        <f>'Plan de producción'!K41*Formulacion!$L$21</f>
        <v>0</v>
      </c>
      <c r="L38" s="52">
        <f>'Plan de producción'!L41*Formulacion!$L$21</f>
        <v>0</v>
      </c>
    </row>
    <row r="39" spans="2:12">
      <c r="B39" s="50"/>
      <c r="C39" s="23" t="s">
        <v>37</v>
      </c>
      <c r="D39" s="52">
        <f>'Plan de producción'!D41*Formulacion!$L$22</f>
        <v>126263.88888888888</v>
      </c>
      <c r="E39" s="52">
        <f>'Plan de producción'!E41*Formulacion!$L$22</f>
        <v>127715.90277777778</v>
      </c>
      <c r="F39" s="52">
        <f>'Plan de producción'!F41*Formulacion!$L$22</f>
        <v>129390.23729166664</v>
      </c>
      <c r="G39" s="52">
        <f>'Plan de producción'!G41*Formulacion!$L$22</f>
        <v>131140.55101593747</v>
      </c>
      <c r="H39" s="52">
        <f>'Plan de producción'!H41*Formulacion!$L$22</f>
        <v>132703.46279031626</v>
      </c>
      <c r="I39" s="52">
        <f>'Plan de producción'!I41*Formulacion!$L$22</f>
        <v>134015.93702072205</v>
      </c>
      <c r="J39" s="52">
        <f>'Plan de producción'!J41*Formulacion!$L$22</f>
        <v>135356.09639092934</v>
      </c>
      <c r="K39" s="52">
        <f>'Plan de producción'!K41*Formulacion!$L$22</f>
        <v>136995.25202111044</v>
      </c>
      <c r="L39" s="52">
        <f>'Plan de producción'!L41*Formulacion!$L$22</f>
        <v>138494.68414423021</v>
      </c>
    </row>
    <row r="40" spans="2:12">
      <c r="B40" s="50"/>
      <c r="C40" s="23" t="s">
        <v>38</v>
      </c>
      <c r="D40" s="52">
        <f>'Plan de producción'!D41*Formulacion!$L$23</f>
        <v>3030333.333333333</v>
      </c>
      <c r="E40" s="52">
        <f>'Plan de producción'!E41*Formulacion!$L$23</f>
        <v>3065181.666666667</v>
      </c>
      <c r="F40" s="52">
        <f>'Plan de producción'!F41*Formulacion!$L$23</f>
        <v>3105365.6949999994</v>
      </c>
      <c r="G40" s="52">
        <f>'Plan de producción'!G41*Formulacion!$L$23</f>
        <v>3147373.2243824992</v>
      </c>
      <c r="H40" s="52">
        <f>'Plan de producción'!H41*Formulacion!$L$23</f>
        <v>3184883.1069675903</v>
      </c>
      <c r="I40" s="52">
        <f>'Plan de producción'!I41*Formulacion!$L$23</f>
        <v>3216382.4884973289</v>
      </c>
      <c r="J40" s="52">
        <f>'Plan de producción'!J41*Formulacion!$L$23</f>
        <v>3248546.3133823043</v>
      </c>
      <c r="K40" s="52">
        <f>'Plan de producción'!K41*Formulacion!$L$23</f>
        <v>3287886.0485066506</v>
      </c>
      <c r="L40" s="52">
        <f>'Plan de producción'!L41*Formulacion!$L$23</f>
        <v>3323872.419461525</v>
      </c>
    </row>
    <row r="41" spans="2:12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2:12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</row>
    <row r="43" spans="2:12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2:12" ht="18">
      <c r="B44" s="50"/>
      <c r="C44" s="54" t="s">
        <v>493</v>
      </c>
      <c r="D44" s="50"/>
      <c r="E44" s="50"/>
      <c r="F44" s="50"/>
      <c r="G44" s="50"/>
      <c r="H44" s="50"/>
      <c r="I44" s="50"/>
      <c r="J44" s="50"/>
      <c r="K44" s="50"/>
      <c r="L44" s="50"/>
    </row>
    <row r="45" spans="2:12">
      <c r="B45" s="50"/>
      <c r="C45" s="50"/>
      <c r="D45" s="241"/>
      <c r="E45" s="50"/>
      <c r="F45" s="50"/>
      <c r="G45" s="50"/>
      <c r="H45" s="50"/>
      <c r="I45" s="50"/>
      <c r="J45" s="50"/>
      <c r="K45" s="50"/>
      <c r="L45" s="50"/>
    </row>
    <row r="46" spans="2:12" ht="18">
      <c r="B46" s="50"/>
      <c r="C46" s="106" t="s">
        <v>114</v>
      </c>
      <c r="D46" s="106">
        <v>2013</v>
      </c>
      <c r="E46" s="106">
        <v>2014</v>
      </c>
      <c r="F46" s="106">
        <v>2015</v>
      </c>
      <c r="G46" s="106">
        <v>2016</v>
      </c>
      <c r="H46" s="106">
        <v>2017</v>
      </c>
      <c r="I46" s="106">
        <v>2018</v>
      </c>
      <c r="J46" s="106">
        <v>2019</v>
      </c>
      <c r="K46" s="106">
        <v>2020</v>
      </c>
      <c r="L46" s="106">
        <v>2021</v>
      </c>
    </row>
    <row r="47" spans="2:12">
      <c r="B47" s="50"/>
      <c r="C47" s="23" t="s">
        <v>494</v>
      </c>
      <c r="D47" s="55">
        <f>D5+D18+D31</f>
        <v>5517840.3022875804</v>
      </c>
      <c r="E47" s="55">
        <f t="shared" ref="E47:L47" si="0">E5+E18+E31</f>
        <v>5575352.3355882354</v>
      </c>
      <c r="F47" s="55">
        <f t="shared" si="0"/>
        <v>5623562.3767464049</v>
      </c>
      <c r="G47" s="55">
        <f t="shared" si="0"/>
        <v>5686188.4297448238</v>
      </c>
      <c r="H47" s="55">
        <f t="shared" si="0"/>
        <v>5748083.2136909859</v>
      </c>
      <c r="I47" s="55">
        <f t="shared" si="0"/>
        <v>5820313.2962125093</v>
      </c>
      <c r="J47" s="55">
        <f t="shared" si="0"/>
        <v>5879548.0065437239</v>
      </c>
      <c r="K47" s="55">
        <f t="shared" si="0"/>
        <v>5946613.9583114805</v>
      </c>
      <c r="L47" s="55">
        <f t="shared" si="0"/>
        <v>6007250.9614599235</v>
      </c>
    </row>
    <row r="48" spans="2:12">
      <c r="B48" s="50"/>
      <c r="C48" s="23" t="s">
        <v>495</v>
      </c>
      <c r="D48" s="55">
        <f t="shared" ref="D48:L56" si="1">D6+D19+D32</f>
        <v>8409674.7303921562</v>
      </c>
      <c r="E48" s="55">
        <f t="shared" si="1"/>
        <v>8496845.4571405221</v>
      </c>
      <c r="F48" s="55">
        <f t="shared" si="1"/>
        <v>8566712.1581437085</v>
      </c>
      <c r="G48" s="55">
        <f t="shared" si="1"/>
        <v>8661280.4741225466</v>
      </c>
      <c r="H48" s="55">
        <f t="shared" si="1"/>
        <v>8754765.9240430519</v>
      </c>
      <c r="I48" s="55">
        <f t="shared" si="1"/>
        <v>8864817.3140116557</v>
      </c>
      <c r="J48" s="55">
        <f t="shared" si="1"/>
        <v>8954797.9792035129</v>
      </c>
      <c r="K48" s="55">
        <f t="shared" si="1"/>
        <v>9057436.4489354901</v>
      </c>
      <c r="L48" s="55">
        <f t="shared" si="1"/>
        <v>9149412.4266496263</v>
      </c>
    </row>
    <row r="49" spans="2:12">
      <c r="B49" s="50"/>
      <c r="C49" s="23" t="s">
        <v>496</v>
      </c>
      <c r="D49" s="55">
        <f t="shared" si="1"/>
        <v>2184304.9019607841</v>
      </c>
      <c r="E49" s="55">
        <f t="shared" si="1"/>
        <v>2207696.0023692809</v>
      </c>
      <c r="F49" s="55">
        <f t="shared" si="1"/>
        <v>2229848.9335102122</v>
      </c>
      <c r="G49" s="55">
        <f t="shared" si="1"/>
        <v>2256027.0869098241</v>
      </c>
      <c r="H49" s="55">
        <f t="shared" si="1"/>
        <v>2281294.1749540847</v>
      </c>
      <c r="I49" s="55">
        <f t="shared" si="1"/>
        <v>2308675.0338188624</v>
      </c>
      <c r="J49" s="55">
        <f t="shared" si="1"/>
        <v>2332153.0234169085</v>
      </c>
      <c r="K49" s="55">
        <f t="shared" si="1"/>
        <v>2358957.4137358461</v>
      </c>
      <c r="L49" s="55">
        <f t="shared" si="1"/>
        <v>2383487.1017790795</v>
      </c>
    </row>
    <row r="50" spans="2:12">
      <c r="B50" s="50"/>
      <c r="C50" s="23" t="s">
        <v>497</v>
      </c>
      <c r="D50" s="55">
        <f t="shared" si="1"/>
        <v>1950845.5473856209</v>
      </c>
      <c r="E50" s="55">
        <f t="shared" si="1"/>
        <v>1971128.772998366</v>
      </c>
      <c r="F50" s="55">
        <f t="shared" si="1"/>
        <v>1987820.3149042071</v>
      </c>
      <c r="G50" s="55">
        <f t="shared" si="1"/>
        <v>2009866.7233391807</v>
      </c>
      <c r="H50" s="55">
        <f t="shared" si="1"/>
        <v>2031666.1826908572</v>
      </c>
      <c r="I50" s="55">
        <f t="shared" si="1"/>
        <v>2057217.7369950176</v>
      </c>
      <c r="J50" s="55">
        <f t="shared" si="1"/>
        <v>2078134.3279500534</v>
      </c>
      <c r="K50" s="55">
        <f t="shared" si="1"/>
        <v>2101878.3516122969</v>
      </c>
      <c r="L50" s="55">
        <f t="shared" si="1"/>
        <v>2123271.4691639636</v>
      </c>
    </row>
    <row r="51" spans="2:12">
      <c r="B51" s="50"/>
      <c r="C51" s="23" t="s">
        <v>498</v>
      </c>
      <c r="D51" s="55">
        <f t="shared" si="1"/>
        <v>1445789.9918300654</v>
      </c>
      <c r="E51" s="55">
        <f t="shared" si="1"/>
        <v>1460265.1618872548</v>
      </c>
      <c r="F51" s="55">
        <f t="shared" si="1"/>
        <v>1470259.3657375406</v>
      </c>
      <c r="G51" s="55">
        <f t="shared" si="1"/>
        <v>1485304.5192754308</v>
      </c>
      <c r="H51" s="55">
        <f t="shared" si="1"/>
        <v>1500852.3315295922</v>
      </c>
      <c r="I51" s="55">
        <f t="shared" si="1"/>
        <v>1521153.9889121293</v>
      </c>
      <c r="J51" s="55">
        <f t="shared" si="1"/>
        <v>1536709.9423863362</v>
      </c>
      <c r="K51" s="55">
        <f t="shared" si="1"/>
        <v>1553897.3435278554</v>
      </c>
      <c r="L51" s="55">
        <f t="shared" si="1"/>
        <v>1569292.7325870427</v>
      </c>
    </row>
    <row r="52" spans="2:12">
      <c r="B52" s="50"/>
      <c r="C52" s="23" t="s">
        <v>499</v>
      </c>
      <c r="D52" s="55">
        <f t="shared" si="1"/>
        <v>1136056.9444444443</v>
      </c>
      <c r="E52" s="55">
        <f t="shared" si="1"/>
        <v>1148239.6277777776</v>
      </c>
      <c r="F52" s="55">
        <f t="shared" si="1"/>
        <v>1161223.323222222</v>
      </c>
      <c r="G52" s="55">
        <f t="shared" si="1"/>
        <v>1174661.2018598609</v>
      </c>
      <c r="H52" s="55">
        <f t="shared" si="1"/>
        <v>1188108.6059967442</v>
      </c>
      <c r="I52" s="55">
        <f t="shared" si="1"/>
        <v>1203398.3832178884</v>
      </c>
      <c r="J52" s="55">
        <f t="shared" si="1"/>
        <v>1215917.2576594669</v>
      </c>
      <c r="K52" s="55">
        <f t="shared" si="1"/>
        <v>1229172.5137296182</v>
      </c>
      <c r="L52" s="55">
        <f t="shared" si="1"/>
        <v>1241982.1572785492</v>
      </c>
    </row>
    <row r="53" spans="2:12">
      <c r="B53" s="50"/>
      <c r="C53" s="23" t="s">
        <v>500</v>
      </c>
      <c r="D53" s="55">
        <f t="shared" si="1"/>
        <v>342147.16094771237</v>
      </c>
      <c r="E53" s="55">
        <f t="shared" si="1"/>
        <v>345692.09852941177</v>
      </c>
      <c r="F53" s="55">
        <f t="shared" si="1"/>
        <v>348762.66811315354</v>
      </c>
      <c r="G53" s="55">
        <f t="shared" si="1"/>
        <v>352569.81625583285</v>
      </c>
      <c r="H53" s="55">
        <f t="shared" si="1"/>
        <v>356420.10994227463</v>
      </c>
      <c r="I53" s="55">
        <f t="shared" si="1"/>
        <v>361085.80149980052</v>
      </c>
      <c r="J53" s="55">
        <f t="shared" si="1"/>
        <v>364799.15189723985</v>
      </c>
      <c r="K53" s="55">
        <f t="shared" si="1"/>
        <v>368855.80600831751</v>
      </c>
      <c r="L53" s="55">
        <f t="shared" si="1"/>
        <v>372602.90724666708</v>
      </c>
    </row>
    <row r="54" spans="2:12">
      <c r="B54" s="50"/>
      <c r="C54" s="23" t="s">
        <v>501</v>
      </c>
      <c r="D54" s="55">
        <f t="shared" si="1"/>
        <v>282460.04901960783</v>
      </c>
      <c r="E54" s="55">
        <f t="shared" si="1"/>
        <v>285268.23700980394</v>
      </c>
      <c r="F54" s="55">
        <f t="shared" si="1"/>
        <v>286553.62378308817</v>
      </c>
      <c r="G54" s="55">
        <f t="shared" si="1"/>
        <v>289537.91411283088</v>
      </c>
      <c r="H54" s="55">
        <f t="shared" si="1"/>
        <v>292433.29325395916</v>
      </c>
      <c r="I54" s="55">
        <f t="shared" si="1"/>
        <v>295990.70930940472</v>
      </c>
      <c r="J54" s="55">
        <f t="shared" si="1"/>
        <v>298901.91770073673</v>
      </c>
      <c r="K54" s="55">
        <f t="shared" si="1"/>
        <v>302538.02379932866</v>
      </c>
      <c r="L54" s="55">
        <f t="shared" si="1"/>
        <v>305513.62812027702</v>
      </c>
    </row>
    <row r="55" spans="2:12">
      <c r="B55" s="50"/>
      <c r="C55" s="23" t="s">
        <v>502</v>
      </c>
      <c r="D55" s="55">
        <f t="shared" si="1"/>
        <v>126263.88888888888</v>
      </c>
      <c r="E55" s="55">
        <f t="shared" si="1"/>
        <v>127715.90277777778</v>
      </c>
      <c r="F55" s="55">
        <f t="shared" si="1"/>
        <v>129390.23729166664</v>
      </c>
      <c r="G55" s="55">
        <f t="shared" si="1"/>
        <v>131140.55101593747</v>
      </c>
      <c r="H55" s="55">
        <f t="shared" si="1"/>
        <v>132703.46279031626</v>
      </c>
      <c r="I55" s="55">
        <f t="shared" si="1"/>
        <v>134015.93702072205</v>
      </c>
      <c r="J55" s="55">
        <f t="shared" si="1"/>
        <v>135356.09639092934</v>
      </c>
      <c r="K55" s="55">
        <f t="shared" si="1"/>
        <v>136995.25202111044</v>
      </c>
      <c r="L55" s="55">
        <f t="shared" si="1"/>
        <v>138494.68414423021</v>
      </c>
    </row>
    <row r="56" spans="2:12">
      <c r="B56" s="50"/>
      <c r="C56" s="23" t="s">
        <v>503</v>
      </c>
      <c r="D56" s="55">
        <f t="shared" si="1"/>
        <v>13357276.388888888</v>
      </c>
      <c r="E56" s="55">
        <f t="shared" si="1"/>
        <v>13495503.050000001</v>
      </c>
      <c r="F56" s="55">
        <f t="shared" si="1"/>
        <v>13606585.826388888</v>
      </c>
      <c r="G56" s="55">
        <f t="shared" si="1"/>
        <v>13756090.258085275</v>
      </c>
      <c r="H56" s="55">
        <f t="shared" si="1"/>
        <v>13904550.680437244</v>
      </c>
      <c r="I56" s="55">
        <f t="shared" si="1"/>
        <v>14080761.313839104</v>
      </c>
      <c r="J56" s="55">
        <f t="shared" si="1"/>
        <v>14223944.234560274</v>
      </c>
      <c r="K56" s="55">
        <f t="shared" si="1"/>
        <v>14386252.932131916</v>
      </c>
      <c r="L56" s="55">
        <f t="shared" si="1"/>
        <v>14532181.506581794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4"/>
  <sheetViews>
    <sheetView topLeftCell="A84" workbookViewId="0">
      <selection activeCell="A105" sqref="A105:XFD105"/>
    </sheetView>
  </sheetViews>
  <sheetFormatPr baseColWidth="10" defaultRowHeight="15" x14ac:dyDescent="0"/>
  <cols>
    <col min="2" max="2" width="14.6640625" customWidth="1"/>
    <col min="3" max="3" width="17.1640625" customWidth="1"/>
    <col min="4" max="4" width="14.1640625" customWidth="1"/>
    <col min="5" max="5" width="14.83203125" customWidth="1"/>
    <col min="6" max="6" width="13.6640625" customWidth="1"/>
    <col min="7" max="7" width="14.5" customWidth="1"/>
    <col min="8" max="8" width="15.6640625" customWidth="1"/>
    <col min="9" max="9" width="14.83203125" customWidth="1"/>
    <col min="10" max="10" width="13.33203125" customWidth="1"/>
    <col min="11" max="11" width="14.33203125" customWidth="1"/>
    <col min="12" max="12" width="12.5" customWidth="1"/>
  </cols>
  <sheetData>
    <row r="2" spans="2:12" ht="20">
      <c r="B2" s="28" t="s">
        <v>506</v>
      </c>
      <c r="D2" s="31"/>
    </row>
    <row r="4" spans="2:12" ht="18">
      <c r="B4" s="66" t="s">
        <v>134</v>
      </c>
      <c r="C4" s="106" t="str">
        <f>Parametros!B21</f>
        <v>Harina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C5" s="23" t="s">
        <v>95</v>
      </c>
      <c r="D5" s="67">
        <f>Parametros!E21</f>
        <v>455000</v>
      </c>
      <c r="E5" s="67">
        <f>D8</f>
        <v>459820.02519063186</v>
      </c>
      <c r="F5" s="67">
        <f t="shared" ref="F5:L5" si="0">E8</f>
        <v>464612.69463235326</v>
      </c>
      <c r="G5" s="67">
        <f t="shared" si="0"/>
        <v>468630.1980622001</v>
      </c>
      <c r="H5" s="67">
        <f t="shared" si="0"/>
        <v>473849.03581206873</v>
      </c>
      <c r="I5" s="67">
        <f t="shared" si="0"/>
        <v>479006.93447424844</v>
      </c>
      <c r="J5" s="67">
        <f t="shared" si="0"/>
        <v>485026.10801770911</v>
      </c>
      <c r="K5" s="67">
        <f t="shared" si="0"/>
        <v>489962.33387864381</v>
      </c>
      <c r="L5" s="67">
        <f t="shared" si="0"/>
        <v>495551.16319262329</v>
      </c>
    </row>
    <row r="6" spans="2:12">
      <c r="C6" s="23" t="s">
        <v>135</v>
      </c>
      <c r="D6" s="67">
        <f>IF(D11&lt;0,0,D11)</f>
        <v>5522660.3274782123</v>
      </c>
      <c r="E6" s="67">
        <f t="shared" ref="E6:L6" si="1">IF(E11&lt;0,0,E11)</f>
        <v>5580145.0050299568</v>
      </c>
      <c r="F6" s="67">
        <f t="shared" si="1"/>
        <v>5627579.8801762518</v>
      </c>
      <c r="G6" s="67">
        <f t="shared" si="1"/>
        <v>5691407.2674946925</v>
      </c>
      <c r="H6" s="67">
        <f t="shared" si="1"/>
        <v>5753241.1123531656</v>
      </c>
      <c r="I6" s="67">
        <f t="shared" si="1"/>
        <v>5826332.4697559699</v>
      </c>
      <c r="J6" s="67">
        <f t="shared" si="1"/>
        <v>5884484.2324046586</v>
      </c>
      <c r="K6" s="67">
        <f t="shared" si="1"/>
        <v>5952202.78762546</v>
      </c>
      <c r="L6" s="67">
        <f t="shared" si="1"/>
        <v>6012304.0450556269</v>
      </c>
    </row>
    <row r="7" spans="2:12">
      <c r="C7" s="23" t="s">
        <v>136</v>
      </c>
      <c r="D7" s="67">
        <f>'Necesidades de insumos'!D47</f>
        <v>5517840.3022875804</v>
      </c>
      <c r="E7" s="67">
        <f>'Necesidades de insumos'!E47</f>
        <v>5575352.3355882354</v>
      </c>
      <c r="F7" s="67">
        <f>'Necesidades de insumos'!F47</f>
        <v>5623562.3767464049</v>
      </c>
      <c r="G7" s="67">
        <f>'Necesidades de insumos'!G47</f>
        <v>5686188.4297448238</v>
      </c>
      <c r="H7" s="67">
        <f>'Necesidades de insumos'!H47</f>
        <v>5748083.2136909859</v>
      </c>
      <c r="I7" s="67">
        <f>'Necesidades de insumos'!I47</f>
        <v>5820313.2962125093</v>
      </c>
      <c r="J7" s="67">
        <f>'Necesidades de insumos'!J47</f>
        <v>5879548.0065437239</v>
      </c>
      <c r="K7" s="67">
        <f>'Necesidades de insumos'!K47</f>
        <v>5946613.9583114805</v>
      </c>
      <c r="L7" s="67">
        <f>'Necesidades de insumos'!L47</f>
        <v>6007250.9614599235</v>
      </c>
    </row>
    <row r="8" spans="2:12">
      <c r="C8" s="23" t="s">
        <v>98</v>
      </c>
      <c r="D8" s="67">
        <f>D5+D6-D7</f>
        <v>459820.02519063186</v>
      </c>
      <c r="E8" s="67">
        <f t="shared" ref="E8:L8" si="2">E5+E6-E7</f>
        <v>464612.69463235326</v>
      </c>
      <c r="F8" s="67">
        <f t="shared" si="2"/>
        <v>468630.1980622001</v>
      </c>
      <c r="G8" s="67">
        <f t="shared" si="2"/>
        <v>473849.03581206873</v>
      </c>
      <c r="H8" s="67">
        <f t="shared" si="2"/>
        <v>479006.93447424844</v>
      </c>
      <c r="I8" s="67">
        <f t="shared" si="2"/>
        <v>485026.10801770911</v>
      </c>
      <c r="J8" s="67">
        <f t="shared" si="2"/>
        <v>489962.33387864381</v>
      </c>
      <c r="K8" s="67">
        <f t="shared" si="2"/>
        <v>495551.16319262329</v>
      </c>
      <c r="L8" s="67">
        <f t="shared" si="2"/>
        <v>500604.24678832665</v>
      </c>
    </row>
    <row r="9" spans="2:12">
      <c r="D9" s="14"/>
      <c r="E9" s="14"/>
      <c r="F9" s="14"/>
      <c r="G9" s="14"/>
      <c r="H9" s="14"/>
      <c r="I9" s="14"/>
      <c r="J9" s="14"/>
      <c r="K9" s="14"/>
      <c r="L9" s="14"/>
    </row>
    <row r="10" spans="2:12">
      <c r="C10" s="23" t="s">
        <v>137</v>
      </c>
      <c r="D10" s="243">
        <f>D7/(12*30)*Parametros!$G$21</f>
        <v>459820.02519063168</v>
      </c>
      <c r="E10" s="243">
        <f>E7/(12*30)*Parametros!$G$21</f>
        <v>464612.69463235297</v>
      </c>
      <c r="F10" s="243">
        <f>F7/(12*30)*Parametros!$G$21</f>
        <v>468630.19806220039</v>
      </c>
      <c r="G10" s="243">
        <f>G7/(12*30)*Parametros!$G$21</f>
        <v>473849.03581206867</v>
      </c>
      <c r="H10" s="243">
        <f>H7/(12*30)*Parametros!$G$21</f>
        <v>479006.93447424879</v>
      </c>
      <c r="I10" s="243">
        <f>I7/(12*30)*Parametros!$G$21</f>
        <v>485026.10801770911</v>
      </c>
      <c r="J10" s="243">
        <f>J7/(12*30)*Parametros!$G$21</f>
        <v>489962.33387864364</v>
      </c>
      <c r="K10" s="243">
        <f>K7/(12*30)*Parametros!$G$21</f>
        <v>495551.16319262335</v>
      </c>
      <c r="L10" s="243">
        <f>L7/(12*30)*Parametros!$G$21</f>
        <v>500604.24678832694</v>
      </c>
    </row>
    <row r="11" spans="2:12">
      <c r="C11" s="23" t="s">
        <v>138</v>
      </c>
      <c r="D11" s="18">
        <f>D7+D10-D5</f>
        <v>5522660.3274782123</v>
      </c>
      <c r="E11" s="18">
        <f t="shared" ref="E11:L11" si="3">E7+E10-E5</f>
        <v>5580145.0050299568</v>
      </c>
      <c r="F11" s="18">
        <f t="shared" si="3"/>
        <v>5627579.8801762518</v>
      </c>
      <c r="G11" s="18">
        <f t="shared" si="3"/>
        <v>5691407.2674946925</v>
      </c>
      <c r="H11" s="18">
        <f t="shared" si="3"/>
        <v>5753241.1123531656</v>
      </c>
      <c r="I11" s="18">
        <f t="shared" si="3"/>
        <v>5826332.4697559699</v>
      </c>
      <c r="J11" s="18">
        <f t="shared" si="3"/>
        <v>5884484.2324046586</v>
      </c>
      <c r="K11" s="18">
        <f t="shared" si="3"/>
        <v>5952202.78762546</v>
      </c>
      <c r="L11" s="18">
        <f t="shared" si="3"/>
        <v>6012304.0450556269</v>
      </c>
    </row>
    <row r="12" spans="2:12" ht="12" customHeight="1">
      <c r="D12" s="68"/>
    </row>
    <row r="13" spans="2:12" ht="12" customHeight="1">
      <c r="D13" s="68"/>
    </row>
    <row r="14" spans="2:12" ht="18">
      <c r="B14" s="66" t="s">
        <v>139</v>
      </c>
      <c r="C14" s="106" t="str">
        <f>Parametros!B22</f>
        <v>Azucar</v>
      </c>
      <c r="D14" s="106">
        <v>2013</v>
      </c>
      <c r="E14" s="106">
        <v>2014</v>
      </c>
      <c r="F14" s="106">
        <v>2015</v>
      </c>
      <c r="G14" s="106">
        <v>2016</v>
      </c>
      <c r="H14" s="106">
        <v>2017</v>
      </c>
      <c r="I14" s="106">
        <v>2018</v>
      </c>
      <c r="J14" s="106">
        <v>2019</v>
      </c>
      <c r="K14" s="106">
        <v>2020</v>
      </c>
      <c r="L14" s="106">
        <v>2021</v>
      </c>
    </row>
    <row r="15" spans="2:12">
      <c r="C15" s="23" t="s">
        <v>95</v>
      </c>
      <c r="D15" s="18">
        <f>Parametros!E22</f>
        <v>692000</v>
      </c>
      <c r="E15" s="18">
        <f>D18</f>
        <v>700806.22753267922</v>
      </c>
      <c r="F15" s="18">
        <f t="shared" ref="F15:L15" si="4">E18</f>
        <v>708070.45476171002</v>
      </c>
      <c r="G15" s="18">
        <f t="shared" si="4"/>
        <v>713892.67984530888</v>
      </c>
      <c r="H15" s="18">
        <f t="shared" si="4"/>
        <v>721773.37284354493</v>
      </c>
      <c r="I15" s="18">
        <f t="shared" si="4"/>
        <v>729563.82700358704</v>
      </c>
      <c r="J15" s="18">
        <f t="shared" si="4"/>
        <v>738734.7761676386</v>
      </c>
      <c r="K15" s="18">
        <f t="shared" si="4"/>
        <v>746233.16493362561</v>
      </c>
      <c r="L15" s="18">
        <f t="shared" si="4"/>
        <v>754786.37074462324</v>
      </c>
    </row>
    <row r="16" spans="2:12">
      <c r="C16" s="23" t="s">
        <v>135</v>
      </c>
      <c r="D16" s="18">
        <f>IF(D21&lt;0,0,D21)</f>
        <v>8418480.9579248354</v>
      </c>
      <c r="E16" s="18">
        <f t="shared" ref="E16:L16" si="5">IF(E21&lt;0,0,E21)</f>
        <v>8504109.6843695529</v>
      </c>
      <c r="F16" s="18">
        <f t="shared" si="5"/>
        <v>8572534.3832273073</v>
      </c>
      <c r="G16" s="18">
        <f t="shared" si="5"/>
        <v>8669161.1671207827</v>
      </c>
      <c r="H16" s="18">
        <f t="shared" si="5"/>
        <v>8762556.378203094</v>
      </c>
      <c r="I16" s="18">
        <f t="shared" si="5"/>
        <v>8873988.2631757073</v>
      </c>
      <c r="J16" s="18">
        <f t="shared" si="5"/>
        <v>8962296.3679694999</v>
      </c>
      <c r="K16" s="18">
        <f t="shared" si="5"/>
        <v>9065989.6547464877</v>
      </c>
      <c r="L16" s="18">
        <f t="shared" si="5"/>
        <v>9157077.0914591383</v>
      </c>
    </row>
    <row r="17" spans="2:12">
      <c r="C17" s="23" t="s">
        <v>136</v>
      </c>
      <c r="D17" s="18">
        <f>'Necesidades de insumos'!D48</f>
        <v>8409674.7303921562</v>
      </c>
      <c r="E17" s="18">
        <f>'Necesidades de insumos'!E48</f>
        <v>8496845.4571405221</v>
      </c>
      <c r="F17" s="18">
        <f>'Necesidades de insumos'!F48</f>
        <v>8566712.1581437085</v>
      </c>
      <c r="G17" s="18">
        <f>'Necesidades de insumos'!G48</f>
        <v>8661280.4741225466</v>
      </c>
      <c r="H17" s="18">
        <f>'Necesidades de insumos'!H48</f>
        <v>8754765.9240430519</v>
      </c>
      <c r="I17" s="18">
        <f>'Necesidades de insumos'!I48</f>
        <v>8864817.3140116557</v>
      </c>
      <c r="J17" s="18">
        <f>'Necesidades de insumos'!J48</f>
        <v>8954797.9792035129</v>
      </c>
      <c r="K17" s="18">
        <f>'Necesidades de insumos'!K48</f>
        <v>9057436.4489354901</v>
      </c>
      <c r="L17" s="18">
        <f>'Necesidades de insumos'!L48</f>
        <v>9149412.4266496263</v>
      </c>
    </row>
    <row r="18" spans="2:12">
      <c r="C18" s="23" t="s">
        <v>98</v>
      </c>
      <c r="D18" s="18">
        <f>D15+D16-D17</f>
        <v>700806.22753267922</v>
      </c>
      <c r="E18" s="18">
        <f t="shared" ref="E18:L18" si="6">E15+E16-E17</f>
        <v>708070.45476171002</v>
      </c>
      <c r="F18" s="18">
        <f t="shared" si="6"/>
        <v>713892.67984530888</v>
      </c>
      <c r="G18" s="18">
        <f t="shared" si="6"/>
        <v>721773.37284354493</v>
      </c>
      <c r="H18" s="18">
        <f t="shared" si="6"/>
        <v>729563.82700358704</v>
      </c>
      <c r="I18" s="18">
        <f t="shared" si="6"/>
        <v>738734.7761676386</v>
      </c>
      <c r="J18" s="18">
        <f t="shared" si="6"/>
        <v>746233.16493362561</v>
      </c>
      <c r="K18" s="18">
        <f t="shared" si="6"/>
        <v>754786.37074462324</v>
      </c>
      <c r="L18" s="18">
        <f t="shared" si="6"/>
        <v>762451.03555413522</v>
      </c>
    </row>
    <row r="20" spans="2:12">
      <c r="C20" s="23" t="s">
        <v>137</v>
      </c>
      <c r="D20" s="243">
        <f>D17/(12*30)*Parametros!$G$22</f>
        <v>700806.22753267968</v>
      </c>
      <c r="E20" s="243">
        <f>E17/(12*30)*Parametros!$G$22</f>
        <v>708070.45476171013</v>
      </c>
      <c r="F20" s="243">
        <f>F17/(12*30)*Parametros!$G$22</f>
        <v>713892.679845309</v>
      </c>
      <c r="G20" s="243">
        <f>G17/(12*30)*Parametros!$G$22</f>
        <v>721773.37284354551</v>
      </c>
      <c r="H20" s="243">
        <f>H17/(12*30)*Parametros!$G$22</f>
        <v>729563.82700358762</v>
      </c>
      <c r="I20" s="243">
        <f>I17/(12*30)*Parametros!$G$22</f>
        <v>738734.77616763802</v>
      </c>
      <c r="J20" s="243">
        <f>J17/(12*30)*Parametros!$G$22</f>
        <v>746233.16493362607</v>
      </c>
      <c r="K20" s="243">
        <f>K17/(12*30)*Parametros!$G$22</f>
        <v>754786.37074462418</v>
      </c>
      <c r="L20" s="243">
        <f>L17/(12*30)*Parametros!$G$22</f>
        <v>762451.03555413557</v>
      </c>
    </row>
    <row r="21" spans="2:12">
      <c r="C21" s="23" t="s">
        <v>138</v>
      </c>
      <c r="D21" s="18">
        <f>D17+D20-D15</f>
        <v>8418480.9579248354</v>
      </c>
      <c r="E21" s="18">
        <f t="shared" ref="E21:L21" si="7">E17+E20-E15</f>
        <v>8504109.6843695529</v>
      </c>
      <c r="F21" s="18">
        <f t="shared" si="7"/>
        <v>8572534.3832273073</v>
      </c>
      <c r="G21" s="18">
        <f t="shared" si="7"/>
        <v>8669161.1671207827</v>
      </c>
      <c r="H21" s="18">
        <f t="shared" si="7"/>
        <v>8762556.378203094</v>
      </c>
      <c r="I21" s="18">
        <f t="shared" si="7"/>
        <v>8873988.2631757073</v>
      </c>
      <c r="J21" s="18">
        <f t="shared" si="7"/>
        <v>8962296.3679694999</v>
      </c>
      <c r="K21" s="18">
        <f t="shared" si="7"/>
        <v>9065989.6547464877</v>
      </c>
      <c r="L21" s="18">
        <f t="shared" si="7"/>
        <v>9157077.0914591383</v>
      </c>
    </row>
    <row r="22" spans="2:12" ht="13" customHeight="1"/>
    <row r="23" spans="2:12" ht="13" customHeight="1"/>
    <row r="24" spans="2:12" ht="18">
      <c r="B24" s="66" t="s">
        <v>140</v>
      </c>
      <c r="C24" s="106" t="str">
        <f>Parametros!B23</f>
        <v>Huevo</v>
      </c>
      <c r="D24" s="106">
        <v>2013</v>
      </c>
      <c r="E24" s="106">
        <v>2014</v>
      </c>
      <c r="F24" s="106">
        <v>2015</v>
      </c>
      <c r="G24" s="106">
        <v>2016</v>
      </c>
      <c r="H24" s="106">
        <v>2017</v>
      </c>
      <c r="I24" s="106">
        <v>2018</v>
      </c>
      <c r="J24" s="106">
        <v>2019</v>
      </c>
      <c r="K24" s="106">
        <v>2020</v>
      </c>
      <c r="L24" s="106">
        <v>2021</v>
      </c>
    </row>
    <row r="25" spans="2:12">
      <c r="C25" s="23" t="s">
        <v>95</v>
      </c>
      <c r="D25" s="18">
        <f>Parametros!E23</f>
        <v>60000</v>
      </c>
      <c r="E25" s="18">
        <f>D28</f>
        <v>60675.136165577453</v>
      </c>
      <c r="F25" s="18">
        <f t="shared" ref="F25:L25" si="8">E28</f>
        <v>61324.888954702299</v>
      </c>
      <c r="G25" s="18">
        <f t="shared" si="8"/>
        <v>61940.248153061606</v>
      </c>
      <c r="H25" s="18">
        <f t="shared" si="8"/>
        <v>62667.419080828317</v>
      </c>
      <c r="I25" s="18">
        <f t="shared" si="8"/>
        <v>63369.28263761336</v>
      </c>
      <c r="J25" s="18">
        <f t="shared" si="8"/>
        <v>64129.862050523981</v>
      </c>
      <c r="K25" s="18">
        <f t="shared" si="8"/>
        <v>64782.028428247664</v>
      </c>
      <c r="L25" s="18">
        <f t="shared" si="8"/>
        <v>65526.59482599562</v>
      </c>
    </row>
    <row r="26" spans="2:12">
      <c r="C26" s="23" t="s">
        <v>135</v>
      </c>
      <c r="D26" s="18">
        <f>IF(D31&lt;0,0,D31)</f>
        <v>2184980.0381263616</v>
      </c>
      <c r="E26" s="18">
        <f t="shared" ref="E26:L26" si="9">IF(E31&lt;0,0,E31)</f>
        <v>2208345.7551584058</v>
      </c>
      <c r="F26" s="18">
        <f t="shared" si="9"/>
        <v>2230464.2927085715</v>
      </c>
      <c r="G26" s="18">
        <f t="shared" si="9"/>
        <v>2256754.2578375908</v>
      </c>
      <c r="H26" s="18">
        <f t="shared" si="9"/>
        <v>2281996.0385108697</v>
      </c>
      <c r="I26" s="18">
        <f t="shared" si="9"/>
        <v>2309435.613231773</v>
      </c>
      <c r="J26" s="18">
        <f t="shared" si="9"/>
        <v>2332805.1897946321</v>
      </c>
      <c r="K26" s="18">
        <f t="shared" si="9"/>
        <v>2359701.980133594</v>
      </c>
      <c r="L26" s="18">
        <f t="shared" si="9"/>
        <v>2384168.4820025028</v>
      </c>
    </row>
    <row r="27" spans="2:12">
      <c r="C27" s="23" t="s">
        <v>136</v>
      </c>
      <c r="D27" s="18">
        <f>'Necesidades de insumos'!D49</f>
        <v>2184304.9019607841</v>
      </c>
      <c r="E27" s="18">
        <f>'Necesidades de insumos'!E49</f>
        <v>2207696.0023692809</v>
      </c>
      <c r="F27" s="18">
        <f>'Necesidades de insumos'!F49</f>
        <v>2229848.9335102122</v>
      </c>
      <c r="G27" s="18">
        <f>'Necesidades de insumos'!G49</f>
        <v>2256027.0869098241</v>
      </c>
      <c r="H27" s="18">
        <f>'Necesidades de insumos'!H49</f>
        <v>2281294.1749540847</v>
      </c>
      <c r="I27" s="18">
        <f>'Necesidades de insumos'!I49</f>
        <v>2308675.0338188624</v>
      </c>
      <c r="J27" s="18">
        <f>'Necesidades de insumos'!J49</f>
        <v>2332153.0234169085</v>
      </c>
      <c r="K27" s="18">
        <f>'Necesidades de insumos'!K49</f>
        <v>2358957.4137358461</v>
      </c>
      <c r="L27" s="18">
        <f>'Necesidades de insumos'!L49</f>
        <v>2383487.1017790795</v>
      </c>
    </row>
    <row r="28" spans="2:12">
      <c r="C28" s="23" t="s">
        <v>98</v>
      </c>
      <c r="D28" s="18">
        <f>D25+D26-D27</f>
        <v>60675.136165577453</v>
      </c>
      <c r="E28" s="18">
        <f t="shared" ref="E28:L28" si="10">E25+E26-E27</f>
        <v>61324.888954702299</v>
      </c>
      <c r="F28" s="18">
        <f t="shared" si="10"/>
        <v>61940.248153061606</v>
      </c>
      <c r="G28" s="18">
        <f t="shared" si="10"/>
        <v>62667.419080828317</v>
      </c>
      <c r="H28" s="18">
        <f t="shared" si="10"/>
        <v>63369.28263761336</v>
      </c>
      <c r="I28" s="18">
        <f t="shared" si="10"/>
        <v>64129.862050523981</v>
      </c>
      <c r="J28" s="18">
        <f t="shared" si="10"/>
        <v>64782.028428247664</v>
      </c>
      <c r="K28" s="18">
        <f t="shared" si="10"/>
        <v>65526.59482599562</v>
      </c>
      <c r="L28" s="18">
        <f t="shared" si="10"/>
        <v>66207.975049418863</v>
      </c>
    </row>
    <row r="29" spans="2:12">
      <c r="D29" s="14"/>
      <c r="E29" s="14"/>
      <c r="F29" s="14"/>
      <c r="G29" s="14"/>
      <c r="H29" s="14"/>
      <c r="I29" s="14"/>
      <c r="J29" s="14"/>
      <c r="K29" s="14"/>
      <c r="L29" s="14"/>
    </row>
    <row r="30" spans="2:12">
      <c r="C30" s="23" t="s">
        <v>137</v>
      </c>
      <c r="D30" s="243">
        <f>D27/(12*30)*Parametros!$G$23</f>
        <v>60675.136165577336</v>
      </c>
      <c r="E30" s="243">
        <f>E27/(12*30)*Parametros!$G$23</f>
        <v>61324.888954702248</v>
      </c>
      <c r="F30" s="243">
        <f>F27/(12*30)*Parametros!$G$23</f>
        <v>61940.248153061446</v>
      </c>
      <c r="G30" s="243">
        <f>G27/(12*30)*Parametros!$G$23</f>
        <v>62667.419080828447</v>
      </c>
      <c r="H30" s="243">
        <f>H27/(12*30)*Parametros!$G$23</f>
        <v>63369.282637613462</v>
      </c>
      <c r="I30" s="243">
        <f>I27/(12*30)*Parametros!$G$23</f>
        <v>64129.862050523952</v>
      </c>
      <c r="J30" s="243">
        <f>J27/(12*30)*Parametros!$G$23</f>
        <v>64782.02842824746</v>
      </c>
      <c r="K30" s="243">
        <f>K27/(12*30)*Parametros!$G$23</f>
        <v>65526.594825995722</v>
      </c>
      <c r="L30" s="243">
        <f>L27/(12*30)*Parametros!$G$23</f>
        <v>66207.975049418877</v>
      </c>
    </row>
    <row r="31" spans="2:12">
      <c r="C31" s="23" t="s">
        <v>138</v>
      </c>
      <c r="D31" s="18">
        <f>D27+D30-D25</f>
        <v>2184980.0381263616</v>
      </c>
      <c r="E31" s="18">
        <f t="shared" ref="E31:L31" si="11">E27+E30-E25</f>
        <v>2208345.7551584058</v>
      </c>
      <c r="F31" s="18">
        <f t="shared" si="11"/>
        <v>2230464.2927085715</v>
      </c>
      <c r="G31" s="18">
        <f t="shared" si="11"/>
        <v>2256754.2578375908</v>
      </c>
      <c r="H31" s="18">
        <f t="shared" si="11"/>
        <v>2281996.0385108697</v>
      </c>
      <c r="I31" s="18">
        <f t="shared" si="11"/>
        <v>2309435.613231773</v>
      </c>
      <c r="J31" s="18">
        <f t="shared" si="11"/>
        <v>2332805.1897946321</v>
      </c>
      <c r="K31" s="18">
        <f t="shared" si="11"/>
        <v>2359701.980133594</v>
      </c>
      <c r="L31" s="18">
        <f t="shared" si="11"/>
        <v>2384168.4820025028</v>
      </c>
    </row>
    <row r="34" spans="2:12" ht="18">
      <c r="B34" s="66" t="s">
        <v>141</v>
      </c>
      <c r="C34" s="106" t="str">
        <f>Parametros!B24</f>
        <v>Manteca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C35" s="23" t="s">
        <v>95</v>
      </c>
      <c r="D35" s="18">
        <f>Parametros!E24</f>
        <v>160000</v>
      </c>
      <c r="E35" s="18">
        <f>D38</f>
        <v>162570.46228213515</v>
      </c>
      <c r="F35" s="18">
        <f t="shared" ref="F35:L35" si="12">E38</f>
        <v>164260.73108319705</v>
      </c>
      <c r="G35" s="18">
        <f t="shared" si="12"/>
        <v>165651.69290868402</v>
      </c>
      <c r="H35" s="18">
        <f t="shared" si="12"/>
        <v>167488.89361159853</v>
      </c>
      <c r="I35" s="18">
        <f t="shared" si="12"/>
        <v>169305.51522423816</v>
      </c>
      <c r="J35" s="18">
        <f t="shared" si="12"/>
        <v>171434.81141625158</v>
      </c>
      <c r="K35" s="18">
        <f t="shared" si="12"/>
        <v>173177.86066250456</v>
      </c>
      <c r="L35" s="18">
        <f t="shared" si="12"/>
        <v>175156.52930102497</v>
      </c>
    </row>
    <row r="36" spans="2:12">
      <c r="C36" s="23" t="s">
        <v>135</v>
      </c>
      <c r="D36" s="18">
        <f>IF(D41&lt;0,0,D41)</f>
        <v>1953416.009667756</v>
      </c>
      <c r="E36" s="18">
        <f t="shared" ref="E36:L36" si="13">IF(E41&lt;0,0,E41)</f>
        <v>1972819.0417994279</v>
      </c>
      <c r="F36" s="18">
        <f t="shared" si="13"/>
        <v>1989211.2767296941</v>
      </c>
      <c r="G36" s="18">
        <f t="shared" si="13"/>
        <v>2011703.9240420952</v>
      </c>
      <c r="H36" s="18">
        <f t="shared" si="13"/>
        <v>2033482.8043034968</v>
      </c>
      <c r="I36" s="18">
        <f t="shared" si="13"/>
        <v>2059347.033187031</v>
      </c>
      <c r="J36" s="18">
        <f t="shared" si="13"/>
        <v>2079877.3771963064</v>
      </c>
      <c r="K36" s="18">
        <f t="shared" si="13"/>
        <v>2103857.0202508173</v>
      </c>
      <c r="L36" s="18">
        <f t="shared" si="13"/>
        <v>2125054.2289599357</v>
      </c>
    </row>
    <row r="37" spans="2:12">
      <c r="C37" s="23" t="s">
        <v>136</v>
      </c>
      <c r="D37" s="18">
        <f>'Necesidades de insumos'!D50</f>
        <v>1950845.5473856209</v>
      </c>
      <c r="E37" s="18">
        <f>'Necesidades de insumos'!E50</f>
        <v>1971128.772998366</v>
      </c>
      <c r="F37" s="18">
        <f>'Necesidades de insumos'!F50</f>
        <v>1987820.3149042071</v>
      </c>
      <c r="G37" s="18">
        <f>'Necesidades de insumos'!G50</f>
        <v>2009866.7233391807</v>
      </c>
      <c r="H37" s="18">
        <f>'Necesidades de insumos'!H50</f>
        <v>2031666.1826908572</v>
      </c>
      <c r="I37" s="18">
        <f>'Necesidades de insumos'!I50</f>
        <v>2057217.7369950176</v>
      </c>
      <c r="J37" s="18">
        <f>'Necesidades de insumos'!J50</f>
        <v>2078134.3279500534</v>
      </c>
      <c r="K37" s="18">
        <f>'Necesidades de insumos'!K50</f>
        <v>2101878.3516122969</v>
      </c>
      <c r="L37" s="18">
        <f>'Necesidades de insumos'!L50</f>
        <v>2123271.4691639636</v>
      </c>
    </row>
    <row r="38" spans="2:12">
      <c r="C38" s="23" t="s">
        <v>98</v>
      </c>
      <c r="D38" s="18">
        <f>D35+D36-D37</f>
        <v>162570.46228213515</v>
      </c>
      <c r="E38" s="18">
        <f t="shared" ref="E38:L38" si="14">E35+E36-E37</f>
        <v>164260.73108319705</v>
      </c>
      <c r="F38" s="18">
        <f t="shared" si="14"/>
        <v>165651.69290868402</v>
      </c>
      <c r="G38" s="18">
        <f t="shared" si="14"/>
        <v>167488.89361159853</v>
      </c>
      <c r="H38" s="18">
        <f t="shared" si="14"/>
        <v>169305.51522423816</v>
      </c>
      <c r="I38" s="18">
        <f t="shared" si="14"/>
        <v>171434.81141625158</v>
      </c>
      <c r="J38" s="18">
        <f t="shared" si="14"/>
        <v>173177.86066250456</v>
      </c>
      <c r="K38" s="18">
        <f t="shared" si="14"/>
        <v>175156.52930102497</v>
      </c>
      <c r="L38" s="18">
        <f t="shared" si="14"/>
        <v>176939.28909699712</v>
      </c>
    </row>
    <row r="39" spans="2:12">
      <c r="D39" s="14"/>
      <c r="E39" s="14"/>
      <c r="F39" s="14"/>
      <c r="G39" s="14"/>
      <c r="H39" s="14"/>
      <c r="I39" s="14"/>
      <c r="J39" s="14"/>
      <c r="K39" s="14"/>
      <c r="L39" s="14"/>
    </row>
    <row r="40" spans="2:12">
      <c r="C40" s="23" t="s">
        <v>137</v>
      </c>
      <c r="D40" s="243">
        <f>D37/(12*30)*Parametros!$G$24</f>
        <v>162570.46228213509</v>
      </c>
      <c r="E40" s="243">
        <f>E37/(12*30)*Parametros!$G$24</f>
        <v>164260.73108319717</v>
      </c>
      <c r="F40" s="243">
        <f>F37/(12*30)*Parametros!$G$24</f>
        <v>165651.69290868391</v>
      </c>
      <c r="G40" s="243">
        <f>G37/(12*30)*Parametros!$G$24</f>
        <v>167488.89361159838</v>
      </c>
      <c r="H40" s="243">
        <f>H37/(12*30)*Parametros!$G$24</f>
        <v>169305.5152242381</v>
      </c>
      <c r="I40" s="243">
        <f>I37/(12*30)*Parametros!$G$24</f>
        <v>171434.81141625147</v>
      </c>
      <c r="J40" s="243">
        <f>J37/(12*30)*Parametros!$G$24</f>
        <v>173177.86066250445</v>
      </c>
      <c r="K40" s="243">
        <f>K37/(12*30)*Parametros!$G$24</f>
        <v>175156.52930102474</v>
      </c>
      <c r="L40" s="243">
        <f>L37/(12*30)*Parametros!$G$24</f>
        <v>176939.28909699697</v>
      </c>
    </row>
    <row r="41" spans="2:12">
      <c r="C41" s="23" t="s">
        <v>138</v>
      </c>
      <c r="D41" s="18">
        <f>D37+D40-D35</f>
        <v>1953416.009667756</v>
      </c>
      <c r="E41" s="18">
        <f t="shared" ref="E41:L41" si="15">E37+E40-E35</f>
        <v>1972819.0417994279</v>
      </c>
      <c r="F41" s="18">
        <f t="shared" si="15"/>
        <v>1989211.2767296941</v>
      </c>
      <c r="G41" s="18">
        <f t="shared" si="15"/>
        <v>2011703.9240420952</v>
      </c>
      <c r="H41" s="18">
        <f t="shared" si="15"/>
        <v>2033482.8043034968</v>
      </c>
      <c r="I41" s="18">
        <f t="shared" si="15"/>
        <v>2059347.033187031</v>
      </c>
      <c r="J41" s="18">
        <f t="shared" si="15"/>
        <v>2079877.3771963064</v>
      </c>
      <c r="K41" s="18">
        <f t="shared" si="15"/>
        <v>2103857.0202508173</v>
      </c>
      <c r="L41" s="18">
        <f t="shared" si="15"/>
        <v>2125054.2289599357</v>
      </c>
    </row>
    <row r="44" spans="2:12" ht="18">
      <c r="B44" s="66" t="s">
        <v>142</v>
      </c>
      <c r="C44" s="106" t="str">
        <f>Parametros!B25</f>
        <v>Aceite</v>
      </c>
      <c r="D44" s="106">
        <v>2013</v>
      </c>
      <c r="E44" s="106">
        <v>2014</v>
      </c>
      <c r="F44" s="106">
        <v>2015</v>
      </c>
      <c r="G44" s="106">
        <v>2016</v>
      </c>
      <c r="H44" s="106">
        <v>2017</v>
      </c>
      <c r="I44" s="106">
        <v>2018</v>
      </c>
      <c r="J44" s="106">
        <v>2019</v>
      </c>
      <c r="K44" s="106">
        <v>2020</v>
      </c>
      <c r="L44" s="106">
        <v>2021</v>
      </c>
    </row>
    <row r="45" spans="2:12">
      <c r="C45" s="23" t="s">
        <v>95</v>
      </c>
      <c r="D45" s="18">
        <f>Parametros!E25</f>
        <v>120000</v>
      </c>
      <c r="E45" s="18">
        <f>D48</f>
        <v>120482.499319172</v>
      </c>
      <c r="F45" s="18">
        <f t="shared" ref="F45:L45" si="16">E48</f>
        <v>121688.76349060447</v>
      </c>
      <c r="G45" s="18">
        <f t="shared" si="16"/>
        <v>122521.61381146172</v>
      </c>
      <c r="H45" s="18">
        <f t="shared" si="16"/>
        <v>123775.3766062858</v>
      </c>
      <c r="I45" s="18">
        <f t="shared" si="16"/>
        <v>125071.02762746601</v>
      </c>
      <c r="J45" s="18">
        <f t="shared" si="16"/>
        <v>126762.83240934415</v>
      </c>
      <c r="K45" s="18">
        <f t="shared" si="16"/>
        <v>128059.16186552797</v>
      </c>
      <c r="L45" s="18">
        <f t="shared" si="16"/>
        <v>129491.44529398787</v>
      </c>
    </row>
    <row r="46" spans="2:12">
      <c r="C46" s="23" t="s">
        <v>135</v>
      </c>
      <c r="D46" s="18">
        <f>IF(D51&lt;0,0,D51)</f>
        <v>1446272.4911492374</v>
      </c>
      <c r="E46" s="18">
        <f t="shared" ref="E46:L46" si="17">IF(E51&lt;0,0,E51)</f>
        <v>1461471.4260586873</v>
      </c>
      <c r="F46" s="18">
        <f t="shared" si="17"/>
        <v>1471092.2160583979</v>
      </c>
      <c r="G46" s="18">
        <f t="shared" si="17"/>
        <v>1486558.2820702549</v>
      </c>
      <c r="H46" s="18">
        <f t="shared" si="17"/>
        <v>1502147.9825507724</v>
      </c>
      <c r="I46" s="18">
        <f t="shared" si="17"/>
        <v>1522845.7936940074</v>
      </c>
      <c r="J46" s="18">
        <f t="shared" si="17"/>
        <v>1538006.27184252</v>
      </c>
      <c r="K46" s="18">
        <f t="shared" si="17"/>
        <v>1555329.6269563152</v>
      </c>
      <c r="L46" s="18">
        <f t="shared" si="17"/>
        <v>1570575.6816753084</v>
      </c>
    </row>
    <row r="47" spans="2:12">
      <c r="C47" s="23" t="s">
        <v>136</v>
      </c>
      <c r="D47" s="18">
        <f>'Necesidades de insumos'!D51</f>
        <v>1445789.9918300654</v>
      </c>
      <c r="E47" s="18">
        <f>'Necesidades de insumos'!E51</f>
        <v>1460265.1618872548</v>
      </c>
      <c r="F47" s="18">
        <f>'Necesidades de insumos'!F51</f>
        <v>1470259.3657375406</v>
      </c>
      <c r="G47" s="18">
        <f>'Necesidades de insumos'!G51</f>
        <v>1485304.5192754308</v>
      </c>
      <c r="H47" s="18">
        <f>'Necesidades de insumos'!H51</f>
        <v>1500852.3315295922</v>
      </c>
      <c r="I47" s="18">
        <f>'Necesidades de insumos'!I51</f>
        <v>1521153.9889121293</v>
      </c>
      <c r="J47" s="18">
        <f>'Necesidades de insumos'!J51</f>
        <v>1536709.9423863362</v>
      </c>
      <c r="K47" s="18">
        <f>'Necesidades de insumos'!K51</f>
        <v>1553897.3435278554</v>
      </c>
      <c r="L47" s="18">
        <f>'Necesidades de insumos'!L51</f>
        <v>1569292.7325870427</v>
      </c>
    </row>
    <row r="48" spans="2:12">
      <c r="C48" s="23" t="s">
        <v>98</v>
      </c>
      <c r="D48" s="18">
        <f>D45+D46-D47</f>
        <v>120482.499319172</v>
      </c>
      <c r="E48" s="18">
        <f t="shared" ref="E48:L48" si="18">E45+E46-E47</f>
        <v>121688.76349060447</v>
      </c>
      <c r="F48" s="18">
        <f t="shared" si="18"/>
        <v>122521.61381146172</v>
      </c>
      <c r="G48" s="18">
        <f t="shared" si="18"/>
        <v>123775.3766062858</v>
      </c>
      <c r="H48" s="18">
        <f t="shared" si="18"/>
        <v>125071.02762746601</v>
      </c>
      <c r="I48" s="18">
        <f t="shared" si="18"/>
        <v>126762.83240934415</v>
      </c>
      <c r="J48" s="18">
        <f t="shared" si="18"/>
        <v>128059.16186552797</v>
      </c>
      <c r="K48" s="18">
        <f t="shared" si="18"/>
        <v>129491.44529398787</v>
      </c>
      <c r="L48" s="18">
        <f t="shared" si="18"/>
        <v>130774.39438225352</v>
      </c>
    </row>
    <row r="49" spans="2:12">
      <c r="D49" s="14"/>
      <c r="E49" s="14"/>
      <c r="F49" s="14"/>
      <c r="G49" s="14"/>
      <c r="H49" s="14"/>
      <c r="I49" s="14"/>
      <c r="J49" s="14"/>
      <c r="K49" s="14"/>
      <c r="L49" s="14"/>
    </row>
    <row r="50" spans="2:12">
      <c r="C50" s="23" t="s">
        <v>137</v>
      </c>
      <c r="D50" s="243">
        <f>D47/(12*30)*Parametros!$G$25</f>
        <v>120482.49931917212</v>
      </c>
      <c r="E50" s="243">
        <f>E47/(12*30)*Parametros!$G$25</f>
        <v>121688.76349060457</v>
      </c>
      <c r="F50" s="243">
        <f>F47/(12*30)*Parametros!$G$25</f>
        <v>122521.61381146172</v>
      </c>
      <c r="G50" s="243">
        <f>G47/(12*30)*Parametros!$G$25</f>
        <v>123775.37660628589</v>
      </c>
      <c r="H50" s="243">
        <f>H47/(12*30)*Parametros!$G$25</f>
        <v>125071.02762746601</v>
      </c>
      <c r="I50" s="243">
        <f>I47/(12*30)*Parametros!$G$25</f>
        <v>126762.83240934412</v>
      </c>
      <c r="J50" s="243">
        <f>J47/(12*30)*Parametros!$G$25</f>
        <v>128059.16186552802</v>
      </c>
      <c r="K50" s="243">
        <f>K47/(12*30)*Parametros!$G$25</f>
        <v>129491.44529398796</v>
      </c>
      <c r="L50" s="243">
        <f>L47/(12*30)*Parametros!$G$25</f>
        <v>130774.39438225357</v>
      </c>
    </row>
    <row r="51" spans="2:12">
      <c r="C51" s="23" t="s">
        <v>138</v>
      </c>
      <c r="D51" s="18">
        <f>D47+D50-D45</f>
        <v>1446272.4911492374</v>
      </c>
      <c r="E51" s="18">
        <f t="shared" ref="E51:L51" si="19">E47+E50-E45</f>
        <v>1461471.4260586873</v>
      </c>
      <c r="F51" s="18">
        <f t="shared" si="19"/>
        <v>1471092.2160583979</v>
      </c>
      <c r="G51" s="18">
        <f t="shared" si="19"/>
        <v>1486558.2820702549</v>
      </c>
      <c r="H51" s="18">
        <f t="shared" si="19"/>
        <v>1502147.9825507724</v>
      </c>
      <c r="I51" s="18">
        <f t="shared" si="19"/>
        <v>1522845.7936940074</v>
      </c>
      <c r="J51" s="18">
        <f t="shared" si="19"/>
        <v>1538006.27184252</v>
      </c>
      <c r="K51" s="18">
        <f t="shared" si="19"/>
        <v>1555329.6269563152</v>
      </c>
      <c r="L51" s="18">
        <f t="shared" si="19"/>
        <v>1570575.6816753084</v>
      </c>
    </row>
    <row r="54" spans="2:12" ht="18">
      <c r="B54" s="66" t="s">
        <v>143</v>
      </c>
      <c r="C54" s="106" t="str">
        <f>Parametros!B26</f>
        <v xml:space="preserve">Fruta seca </v>
      </c>
      <c r="D54" s="106">
        <v>2013</v>
      </c>
      <c r="E54" s="106">
        <v>2014</v>
      </c>
      <c r="F54" s="106">
        <v>2015</v>
      </c>
      <c r="G54" s="106">
        <v>2016</v>
      </c>
      <c r="H54" s="106">
        <v>2017</v>
      </c>
      <c r="I54" s="106">
        <v>2018</v>
      </c>
      <c r="J54" s="106">
        <v>2019</v>
      </c>
      <c r="K54" s="106">
        <v>2020</v>
      </c>
      <c r="L54" s="106">
        <v>2021</v>
      </c>
    </row>
    <row r="55" spans="2:12">
      <c r="C55" s="23" t="s">
        <v>95</v>
      </c>
      <c r="D55" s="18">
        <f>Parametros!E26</f>
        <v>93000</v>
      </c>
      <c r="E55" s="18">
        <f>D58</f>
        <v>94671.41203703708</v>
      </c>
      <c r="F55" s="18">
        <f t="shared" ref="F55:L55" si="20">E58</f>
        <v>95686.635648148134</v>
      </c>
      <c r="G55" s="18">
        <f t="shared" si="20"/>
        <v>96768.610268518561</v>
      </c>
      <c r="H55" s="18">
        <f t="shared" si="20"/>
        <v>97888.433488321723</v>
      </c>
      <c r="I55" s="18">
        <f t="shared" si="20"/>
        <v>99009.050499728648</v>
      </c>
      <c r="J55" s="18">
        <f t="shared" si="20"/>
        <v>100283.19860149082</v>
      </c>
      <c r="K55" s="18">
        <f t="shared" si="20"/>
        <v>101326.43813828891</v>
      </c>
      <c r="L55" s="18">
        <f t="shared" si="20"/>
        <v>102431.04281080142</v>
      </c>
    </row>
    <row r="56" spans="2:12">
      <c r="C56" s="23" t="s">
        <v>135</v>
      </c>
      <c r="D56" s="18">
        <f>IF(D61&lt;0,0,D61)</f>
        <v>1137728.3564814813</v>
      </c>
      <c r="E56" s="18">
        <f t="shared" ref="E56:L56" si="21">IF(E61&lt;0,0,E61)</f>
        <v>1149254.8513888887</v>
      </c>
      <c r="F56" s="18">
        <f t="shared" si="21"/>
        <v>1162305.2978425925</v>
      </c>
      <c r="G56" s="18">
        <f t="shared" si="21"/>
        <v>1175781.0250796641</v>
      </c>
      <c r="H56" s="18">
        <f t="shared" si="21"/>
        <v>1189229.2230081512</v>
      </c>
      <c r="I56" s="18">
        <f t="shared" si="21"/>
        <v>1204672.5313196506</v>
      </c>
      <c r="J56" s="18">
        <f t="shared" si="21"/>
        <v>1216960.497196265</v>
      </c>
      <c r="K56" s="18">
        <f t="shared" si="21"/>
        <v>1230277.1184021307</v>
      </c>
      <c r="L56" s="18">
        <f t="shared" si="21"/>
        <v>1243049.6275742934</v>
      </c>
    </row>
    <row r="57" spans="2:12">
      <c r="C57" s="23" t="s">
        <v>136</v>
      </c>
      <c r="D57" s="18">
        <f>'Necesidades de insumos'!D52</f>
        <v>1136056.9444444443</v>
      </c>
      <c r="E57" s="18">
        <f>'Necesidades de insumos'!E52</f>
        <v>1148239.6277777776</v>
      </c>
      <c r="F57" s="18">
        <f>'Necesidades de insumos'!F52</f>
        <v>1161223.323222222</v>
      </c>
      <c r="G57" s="18">
        <f>'Necesidades de insumos'!G52</f>
        <v>1174661.2018598609</v>
      </c>
      <c r="H57" s="18">
        <f>'Necesidades de insumos'!H52</f>
        <v>1188108.6059967442</v>
      </c>
      <c r="I57" s="18">
        <f>'Necesidades de insumos'!I52</f>
        <v>1203398.3832178884</v>
      </c>
      <c r="J57" s="18">
        <f>'Necesidades de insumos'!J52</f>
        <v>1215917.2576594669</v>
      </c>
      <c r="K57" s="18">
        <f>'Necesidades de insumos'!K52</f>
        <v>1229172.5137296182</v>
      </c>
      <c r="L57" s="18">
        <f>'Necesidades de insumos'!L52</f>
        <v>1241982.1572785492</v>
      </c>
    </row>
    <row r="58" spans="2:12">
      <c r="C58" s="23" t="s">
        <v>98</v>
      </c>
      <c r="D58" s="18">
        <f>D55+D56-D57</f>
        <v>94671.41203703708</v>
      </c>
      <c r="E58" s="18">
        <f t="shared" ref="E58:L58" si="22">E55+E56-E57</f>
        <v>95686.635648148134</v>
      </c>
      <c r="F58" s="18">
        <f t="shared" si="22"/>
        <v>96768.610268518561</v>
      </c>
      <c r="G58" s="18">
        <f t="shared" si="22"/>
        <v>97888.433488321723</v>
      </c>
      <c r="H58" s="18">
        <f t="shared" si="22"/>
        <v>99009.050499728648</v>
      </c>
      <c r="I58" s="18">
        <f t="shared" si="22"/>
        <v>100283.19860149082</v>
      </c>
      <c r="J58" s="18">
        <f t="shared" si="22"/>
        <v>101326.43813828891</v>
      </c>
      <c r="K58" s="18">
        <f t="shared" si="22"/>
        <v>102431.04281080142</v>
      </c>
      <c r="L58" s="18">
        <f t="shared" si="22"/>
        <v>103498.51310654567</v>
      </c>
    </row>
    <row r="59" spans="2:12">
      <c r="D59" s="14"/>
      <c r="E59" s="14"/>
      <c r="F59" s="14"/>
      <c r="G59" s="14"/>
      <c r="H59" s="14"/>
      <c r="I59" s="14"/>
      <c r="J59" s="14"/>
      <c r="K59" s="14"/>
      <c r="L59" s="14"/>
    </row>
    <row r="60" spans="2:12">
      <c r="C60" s="23" t="s">
        <v>137</v>
      </c>
      <c r="D60" s="243">
        <f>D57/(12*30)*Parametros!$G$26</f>
        <v>94671.412037037022</v>
      </c>
      <c r="E60" s="243">
        <f>E57/(12*30)*Parametros!$G$26</f>
        <v>95686.635648148134</v>
      </c>
      <c r="F60" s="243">
        <f>F57/(12*30)*Parametros!$G$26</f>
        <v>96768.610268518503</v>
      </c>
      <c r="G60" s="243">
        <f>G57/(12*30)*Parametros!$G$26</f>
        <v>97888.433488321738</v>
      </c>
      <c r="H60" s="243">
        <f>H57/(12*30)*Parametros!$G$26</f>
        <v>99009.050499728692</v>
      </c>
      <c r="I60" s="243">
        <f>I57/(12*30)*Parametros!$G$26</f>
        <v>100283.1986014907</v>
      </c>
      <c r="J60" s="243">
        <f>J57/(12*30)*Parametros!$G$26</f>
        <v>101326.43813828891</v>
      </c>
      <c r="K60" s="243">
        <f>K57/(12*30)*Parametros!$G$26</f>
        <v>102431.04281080152</v>
      </c>
      <c r="L60" s="243">
        <f>L57/(12*30)*Parametros!$G$26</f>
        <v>103498.51310654577</v>
      </c>
    </row>
    <row r="61" spans="2:12">
      <c r="C61" s="23" t="s">
        <v>138</v>
      </c>
      <c r="D61" s="18">
        <f>D57+D60-D55</f>
        <v>1137728.3564814813</v>
      </c>
      <c r="E61" s="18">
        <f t="shared" ref="E61:L61" si="23">E57+E60-E55</f>
        <v>1149254.8513888887</v>
      </c>
      <c r="F61" s="18">
        <f t="shared" si="23"/>
        <v>1162305.2978425925</v>
      </c>
      <c r="G61" s="18">
        <f t="shared" si="23"/>
        <v>1175781.0250796641</v>
      </c>
      <c r="H61" s="18">
        <f t="shared" si="23"/>
        <v>1189229.2230081512</v>
      </c>
      <c r="I61" s="18">
        <f t="shared" si="23"/>
        <v>1204672.5313196506</v>
      </c>
      <c r="J61" s="18">
        <f t="shared" si="23"/>
        <v>1216960.497196265</v>
      </c>
      <c r="K61" s="18">
        <f t="shared" si="23"/>
        <v>1230277.1184021307</v>
      </c>
      <c r="L61" s="18">
        <f t="shared" si="23"/>
        <v>1243049.6275742934</v>
      </c>
    </row>
    <row r="64" spans="2:12" ht="18">
      <c r="B64" s="66" t="s">
        <v>144</v>
      </c>
      <c r="C64" s="106" t="str">
        <f>Parametros!B27</f>
        <v>Preservante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C65" s="23" t="s">
        <v>95</v>
      </c>
      <c r="D65" s="18">
        <f>Parametros!E27</f>
        <v>28000</v>
      </c>
      <c r="E65" s="18">
        <f>D68</f>
        <v>28512.263412309345</v>
      </c>
      <c r="F65" s="18">
        <f t="shared" ref="F65:L65" si="24">E68</f>
        <v>28807.674877450976</v>
      </c>
      <c r="G65" s="18">
        <f t="shared" si="24"/>
        <v>29063.555676096119</v>
      </c>
      <c r="H65" s="18">
        <f t="shared" si="24"/>
        <v>29380.818021319399</v>
      </c>
      <c r="I65" s="18">
        <f t="shared" si="24"/>
        <v>29701.675828522886</v>
      </c>
      <c r="J65" s="18">
        <f t="shared" si="24"/>
        <v>30090.48345831671</v>
      </c>
      <c r="K65" s="18">
        <f t="shared" si="24"/>
        <v>30399.929324769997</v>
      </c>
      <c r="L65" s="18">
        <f t="shared" si="24"/>
        <v>30737.98383402644</v>
      </c>
    </row>
    <row r="66" spans="2:12">
      <c r="C66" s="23" t="s">
        <v>135</v>
      </c>
      <c r="D66" s="18">
        <f>IF(D71&lt;0,0,D71)</f>
        <v>342659.42436002172</v>
      </c>
      <c r="E66" s="18">
        <f t="shared" ref="E66:L66" si="25">IF(E71&lt;0,0,E71)</f>
        <v>345987.5099945534</v>
      </c>
      <c r="F66" s="18">
        <f t="shared" si="25"/>
        <v>349018.54891179869</v>
      </c>
      <c r="G66" s="18">
        <f t="shared" si="25"/>
        <v>352887.07860105613</v>
      </c>
      <c r="H66" s="18">
        <f t="shared" si="25"/>
        <v>356740.96774947812</v>
      </c>
      <c r="I66" s="18">
        <f t="shared" si="25"/>
        <v>361474.60912959435</v>
      </c>
      <c r="J66" s="18">
        <f t="shared" si="25"/>
        <v>365108.59776369313</v>
      </c>
      <c r="K66" s="18">
        <f t="shared" si="25"/>
        <v>369193.86051757395</v>
      </c>
      <c r="L66" s="18">
        <f t="shared" si="25"/>
        <v>372915.16568319622</v>
      </c>
    </row>
    <row r="67" spans="2:12">
      <c r="C67" s="23" t="s">
        <v>136</v>
      </c>
      <c r="D67" s="18">
        <f>'Necesidades de insumos'!D53</f>
        <v>342147.16094771237</v>
      </c>
      <c r="E67" s="18">
        <f>'Necesidades de insumos'!E53</f>
        <v>345692.09852941177</v>
      </c>
      <c r="F67" s="18">
        <f>'Necesidades de insumos'!F53</f>
        <v>348762.66811315354</v>
      </c>
      <c r="G67" s="18">
        <f>'Necesidades de insumos'!G53</f>
        <v>352569.81625583285</v>
      </c>
      <c r="H67" s="18">
        <f>'Necesidades de insumos'!H53</f>
        <v>356420.10994227463</v>
      </c>
      <c r="I67" s="18">
        <f>'Necesidades de insumos'!I53</f>
        <v>361085.80149980052</v>
      </c>
      <c r="J67" s="18">
        <f>'Necesidades de insumos'!J53</f>
        <v>364799.15189723985</v>
      </c>
      <c r="K67" s="18">
        <f>'Necesidades de insumos'!K53</f>
        <v>368855.80600831751</v>
      </c>
      <c r="L67" s="18">
        <f>'Necesidades de insumos'!L53</f>
        <v>372602.90724666708</v>
      </c>
    </row>
    <row r="68" spans="2:12">
      <c r="C68" s="23" t="s">
        <v>98</v>
      </c>
      <c r="D68" s="18">
        <f>D65+D66-D67</f>
        <v>28512.263412309345</v>
      </c>
      <c r="E68" s="18">
        <f t="shared" ref="E68:L68" si="26">E65+E66-E67</f>
        <v>28807.674877450976</v>
      </c>
      <c r="F68" s="18">
        <f t="shared" si="26"/>
        <v>29063.555676096119</v>
      </c>
      <c r="G68" s="18">
        <f t="shared" si="26"/>
        <v>29380.818021319399</v>
      </c>
      <c r="H68" s="18">
        <f t="shared" si="26"/>
        <v>29701.675828522886</v>
      </c>
      <c r="I68" s="18">
        <f t="shared" si="26"/>
        <v>30090.48345831671</v>
      </c>
      <c r="J68" s="18">
        <f t="shared" si="26"/>
        <v>30399.929324769997</v>
      </c>
      <c r="K68" s="18">
        <f t="shared" si="26"/>
        <v>30737.98383402644</v>
      </c>
      <c r="L68" s="18">
        <f t="shared" si="26"/>
        <v>31050.24227055558</v>
      </c>
    </row>
    <row r="69" spans="2:12">
      <c r="D69" s="14"/>
      <c r="E69" s="14"/>
      <c r="F69" s="14"/>
      <c r="G69" s="14"/>
      <c r="H69" s="14"/>
      <c r="I69" s="14"/>
      <c r="J69" s="14"/>
      <c r="K69" s="14"/>
      <c r="L69" s="14"/>
    </row>
    <row r="70" spans="2:12">
      <c r="C70" s="23" t="s">
        <v>137</v>
      </c>
      <c r="D70" s="243">
        <f>D67/(12*30)*Parametros!$G$27</f>
        <v>28512.263412309363</v>
      </c>
      <c r="E70" s="243">
        <f>E67/(12*30)*Parametros!$G$27</f>
        <v>28807.67487745098</v>
      </c>
      <c r="F70" s="243">
        <f>F67/(12*30)*Parametros!$G$27</f>
        <v>29063.555676096126</v>
      </c>
      <c r="G70" s="243">
        <f>G67/(12*30)*Parametros!$G$27</f>
        <v>29380.818021319406</v>
      </c>
      <c r="H70" s="243">
        <f>H67/(12*30)*Parametros!$G$27</f>
        <v>29701.675828522886</v>
      </c>
      <c r="I70" s="243">
        <f>I67/(12*30)*Parametros!$G$27</f>
        <v>30090.48345831671</v>
      </c>
      <c r="J70" s="243">
        <f>J67/(12*30)*Parametros!$G$27</f>
        <v>30399.929324769986</v>
      </c>
      <c r="K70" s="243">
        <f>K67/(12*30)*Parametros!$G$27</f>
        <v>30737.983834026458</v>
      </c>
      <c r="L70" s="243">
        <f>L67/(12*30)*Parametros!$G$27</f>
        <v>31050.242270555587</v>
      </c>
    </row>
    <row r="71" spans="2:12">
      <c r="C71" s="23" t="s">
        <v>138</v>
      </c>
      <c r="D71" s="18">
        <f>D67+D70-D65</f>
        <v>342659.42436002172</v>
      </c>
      <c r="E71" s="18">
        <f t="shared" ref="E71:L71" si="27">E67+E70-E65</f>
        <v>345987.5099945534</v>
      </c>
      <c r="F71" s="18">
        <f t="shared" si="27"/>
        <v>349018.54891179869</v>
      </c>
      <c r="G71" s="18">
        <f t="shared" si="27"/>
        <v>352887.07860105613</v>
      </c>
      <c r="H71" s="18">
        <f t="shared" si="27"/>
        <v>356740.96774947812</v>
      </c>
      <c r="I71" s="18">
        <f t="shared" si="27"/>
        <v>361474.60912959435</v>
      </c>
      <c r="J71" s="18">
        <f t="shared" si="27"/>
        <v>365108.59776369313</v>
      </c>
      <c r="K71" s="18">
        <f t="shared" si="27"/>
        <v>369193.86051757395</v>
      </c>
      <c r="L71" s="18">
        <f t="shared" si="27"/>
        <v>372915.16568319622</v>
      </c>
    </row>
    <row r="74" spans="2:12" ht="18">
      <c r="B74" s="63" t="s">
        <v>145</v>
      </c>
      <c r="C74" s="106" t="str">
        <f>Parametros!B28</f>
        <v>Queso</v>
      </c>
      <c r="D74" s="106">
        <v>2013</v>
      </c>
      <c r="E74" s="106">
        <v>2014</v>
      </c>
      <c r="F74" s="106">
        <v>2015</v>
      </c>
      <c r="G74" s="106">
        <v>2016</v>
      </c>
      <c r="H74" s="106">
        <v>2017</v>
      </c>
      <c r="I74" s="106">
        <v>2018</v>
      </c>
      <c r="J74" s="106">
        <v>2019</v>
      </c>
      <c r="K74" s="106">
        <v>2020</v>
      </c>
      <c r="L74" s="106">
        <v>2021</v>
      </c>
    </row>
    <row r="75" spans="2:12">
      <c r="B75" s="10"/>
      <c r="C75" s="51" t="s">
        <v>95</v>
      </c>
      <c r="D75" s="35">
        <f>Parametros!E28</f>
        <v>15000</v>
      </c>
      <c r="E75" s="35">
        <f>D78</f>
        <v>15692.224945533788</v>
      </c>
      <c r="F75" s="35">
        <f t="shared" ref="F75:L75" si="28">E78</f>
        <v>15848.235389433568</v>
      </c>
      <c r="G75" s="35">
        <f t="shared" si="28"/>
        <v>15919.645765727095</v>
      </c>
      <c r="H75" s="35">
        <f t="shared" si="28"/>
        <v>16085.439672935056</v>
      </c>
      <c r="I75" s="35">
        <f t="shared" si="28"/>
        <v>16246.294069664378</v>
      </c>
      <c r="J75" s="35">
        <f t="shared" si="28"/>
        <v>16443.928294966929</v>
      </c>
      <c r="K75" s="35">
        <f t="shared" si="28"/>
        <v>16605.662094485364</v>
      </c>
      <c r="L75" s="35">
        <f t="shared" si="28"/>
        <v>16807.667988851608</v>
      </c>
    </row>
    <row r="76" spans="2:12">
      <c r="B76" s="10"/>
      <c r="C76" s="51" t="s">
        <v>135</v>
      </c>
      <c r="D76" s="11">
        <f>IF(D81&lt;0,0,D81)</f>
        <v>283152.27396514162</v>
      </c>
      <c r="E76" s="11">
        <f t="shared" ref="E76:L76" si="29">IF(E81&lt;0,0,E81)</f>
        <v>285424.24745370372</v>
      </c>
      <c r="F76" s="11">
        <f t="shared" si="29"/>
        <v>286625.0341593817</v>
      </c>
      <c r="G76" s="11">
        <f t="shared" si="29"/>
        <v>289703.70802003884</v>
      </c>
      <c r="H76" s="11">
        <f t="shared" si="29"/>
        <v>292594.14765068848</v>
      </c>
      <c r="I76" s="11">
        <f t="shared" si="29"/>
        <v>296188.34353470727</v>
      </c>
      <c r="J76" s="11">
        <f t="shared" si="29"/>
        <v>299063.65150025516</v>
      </c>
      <c r="K76" s="11">
        <f t="shared" si="29"/>
        <v>302740.0296936949</v>
      </c>
      <c r="L76" s="11">
        <f t="shared" si="29"/>
        <v>305678.9394714408</v>
      </c>
    </row>
    <row r="77" spans="2:12">
      <c r="B77" s="10"/>
      <c r="C77" s="51" t="s">
        <v>136</v>
      </c>
      <c r="D77" s="11">
        <f>'Necesidades de insumos'!D54</f>
        <v>282460.04901960783</v>
      </c>
      <c r="E77" s="11">
        <f>'Necesidades de insumos'!E54</f>
        <v>285268.23700980394</v>
      </c>
      <c r="F77" s="11">
        <f>'Necesidades de insumos'!F54</f>
        <v>286553.62378308817</v>
      </c>
      <c r="G77" s="11">
        <f>'Necesidades de insumos'!G54</f>
        <v>289537.91411283088</v>
      </c>
      <c r="H77" s="11">
        <f>'Necesidades de insumos'!H54</f>
        <v>292433.29325395916</v>
      </c>
      <c r="I77" s="11">
        <f>'Necesidades de insumos'!I54</f>
        <v>295990.70930940472</v>
      </c>
      <c r="J77" s="11">
        <f>'Necesidades de insumos'!J54</f>
        <v>298901.91770073673</v>
      </c>
      <c r="K77" s="11">
        <f>'Necesidades de insumos'!K54</f>
        <v>302538.02379932866</v>
      </c>
      <c r="L77" s="11">
        <f>'Necesidades de insumos'!L54</f>
        <v>305513.62812027702</v>
      </c>
    </row>
    <row r="78" spans="2:12">
      <c r="B78" s="10"/>
      <c r="C78" s="51" t="s">
        <v>98</v>
      </c>
      <c r="D78" s="11">
        <f>D75+D76-D77</f>
        <v>15692.224945533788</v>
      </c>
      <c r="E78" s="11">
        <f t="shared" ref="E78:L78" si="30">E75+E76-E77</f>
        <v>15848.235389433568</v>
      </c>
      <c r="F78" s="11">
        <f t="shared" si="30"/>
        <v>15919.645765727095</v>
      </c>
      <c r="G78" s="11">
        <f t="shared" si="30"/>
        <v>16085.439672935056</v>
      </c>
      <c r="H78" s="11">
        <f t="shared" si="30"/>
        <v>16246.294069664378</v>
      </c>
      <c r="I78" s="11">
        <f t="shared" si="30"/>
        <v>16443.928294966929</v>
      </c>
      <c r="J78" s="11">
        <f t="shared" si="30"/>
        <v>16605.662094485364</v>
      </c>
      <c r="K78" s="11">
        <f t="shared" si="30"/>
        <v>16807.667988851608</v>
      </c>
      <c r="L78" s="11">
        <f t="shared" si="30"/>
        <v>16972.979340015387</v>
      </c>
    </row>
    <row r="79" spans="2:12">
      <c r="B79" s="10"/>
      <c r="C79" s="10"/>
      <c r="D79" s="64"/>
      <c r="E79" s="64"/>
      <c r="F79" s="64"/>
      <c r="G79" s="64"/>
      <c r="H79" s="64"/>
      <c r="I79" s="64"/>
      <c r="J79" s="64"/>
      <c r="K79" s="64"/>
      <c r="L79" s="64"/>
    </row>
    <row r="80" spans="2:12">
      <c r="B80" s="10"/>
      <c r="C80" s="65" t="s">
        <v>137</v>
      </c>
      <c r="D80" s="243">
        <f>D77/(12*30)*Parametros!$G$28</f>
        <v>15692.22494553377</v>
      </c>
      <c r="E80" s="243">
        <f>E77/(12*30)*Parametros!$G$28</f>
        <v>15848.235389433554</v>
      </c>
      <c r="F80" s="243">
        <f>F77/(12*30)*Parametros!$G$28</f>
        <v>15919.64576572712</v>
      </c>
      <c r="G80" s="243">
        <f>G77/(12*30)*Parametros!$G$28</f>
        <v>16085.439672935048</v>
      </c>
      <c r="H80" s="243">
        <f>H77/(12*30)*Parametros!$G$28</f>
        <v>16246.294069664398</v>
      </c>
      <c r="I80" s="243">
        <f>I77/(12*30)*Parametros!$G$28</f>
        <v>16443.928294966929</v>
      </c>
      <c r="J80" s="243">
        <f>J77/(12*30)*Parametros!$G$28</f>
        <v>16605.662094485375</v>
      </c>
      <c r="K80" s="243">
        <f>K77/(12*30)*Parametros!$G$28</f>
        <v>16807.667988851594</v>
      </c>
      <c r="L80" s="243">
        <f>L77/(12*30)*Parametros!$G$28</f>
        <v>16972.97934001539</v>
      </c>
    </row>
    <row r="81" spans="2:12">
      <c r="B81" s="10"/>
      <c r="C81" s="51" t="s">
        <v>138</v>
      </c>
      <c r="D81" s="11">
        <f>D77+D80-D75</f>
        <v>283152.27396514162</v>
      </c>
      <c r="E81" s="11">
        <f t="shared" ref="E81:L81" si="31">E77+E80-E75</f>
        <v>285424.24745370372</v>
      </c>
      <c r="F81" s="11">
        <f t="shared" si="31"/>
        <v>286625.0341593817</v>
      </c>
      <c r="G81" s="11">
        <f t="shared" si="31"/>
        <v>289703.70802003884</v>
      </c>
      <c r="H81" s="11">
        <f t="shared" si="31"/>
        <v>292594.14765068848</v>
      </c>
      <c r="I81" s="11">
        <f t="shared" si="31"/>
        <v>296188.34353470727</v>
      </c>
      <c r="J81" s="11">
        <f t="shared" si="31"/>
        <v>299063.65150025516</v>
      </c>
      <c r="K81" s="11">
        <f t="shared" si="31"/>
        <v>302740.0296936949</v>
      </c>
      <c r="L81" s="11">
        <f t="shared" si="31"/>
        <v>305678.9394714408</v>
      </c>
    </row>
    <row r="84" spans="2:12" ht="18">
      <c r="B84" s="63" t="s">
        <v>146</v>
      </c>
      <c r="C84" s="106" t="str">
        <f>Parametros!B29</f>
        <v>Pisco</v>
      </c>
      <c r="D84" s="106">
        <v>2013</v>
      </c>
      <c r="E84" s="106">
        <v>2014</v>
      </c>
      <c r="F84" s="106">
        <v>2015</v>
      </c>
      <c r="G84" s="106">
        <v>2016</v>
      </c>
      <c r="H84" s="106">
        <v>2017</v>
      </c>
      <c r="I84" s="106">
        <v>2018</v>
      </c>
      <c r="J84" s="106">
        <v>2019</v>
      </c>
      <c r="K84" s="106">
        <v>2020</v>
      </c>
      <c r="L84" s="106">
        <v>2021</v>
      </c>
    </row>
    <row r="85" spans="2:12">
      <c r="B85" s="10"/>
      <c r="C85" s="51" t="s">
        <v>95</v>
      </c>
      <c r="D85" s="35">
        <f>Parametros!E29</f>
        <v>10000</v>
      </c>
      <c r="E85" s="35">
        <f>D88</f>
        <v>10521.99074074073</v>
      </c>
      <c r="F85" s="35">
        <f t="shared" ref="F85:L85" si="32">E88</f>
        <v>10642.991898148146</v>
      </c>
      <c r="G85" s="35">
        <f t="shared" si="32"/>
        <v>10782.519774305561</v>
      </c>
      <c r="H85" s="35">
        <f t="shared" si="32"/>
        <v>10928.379251328122</v>
      </c>
      <c r="I85" s="35">
        <f t="shared" si="32"/>
        <v>11058.621899193036</v>
      </c>
      <c r="J85" s="35">
        <f t="shared" si="32"/>
        <v>11167.99475172683</v>
      </c>
      <c r="K85" s="35">
        <f t="shared" si="32"/>
        <v>11279.674699244119</v>
      </c>
      <c r="L85" s="35">
        <f t="shared" si="32"/>
        <v>11416.271001759218</v>
      </c>
    </row>
    <row r="86" spans="2:12">
      <c r="B86" s="10"/>
      <c r="C86" s="51" t="s">
        <v>135</v>
      </c>
      <c r="D86" s="11">
        <f>IF(D91&lt;0,0,D91)</f>
        <v>126785.87962962961</v>
      </c>
      <c r="E86" s="11">
        <f t="shared" ref="E86:L86" si="33">IF(E91&lt;0,0,E91)</f>
        <v>127836.9039351852</v>
      </c>
      <c r="F86" s="11">
        <f t="shared" si="33"/>
        <v>129529.76516782405</v>
      </c>
      <c r="G86" s="11">
        <f t="shared" si="33"/>
        <v>131286.41049296001</v>
      </c>
      <c r="H86" s="11">
        <f t="shared" si="33"/>
        <v>132833.70543818118</v>
      </c>
      <c r="I86" s="11">
        <f t="shared" si="33"/>
        <v>134125.30987325584</v>
      </c>
      <c r="J86" s="11">
        <f t="shared" si="33"/>
        <v>135467.77633844662</v>
      </c>
      <c r="K86" s="11">
        <f t="shared" si="33"/>
        <v>137131.84832362554</v>
      </c>
      <c r="L86" s="11">
        <f t="shared" si="33"/>
        <v>138619.63682115683</v>
      </c>
    </row>
    <row r="87" spans="2:12">
      <c r="B87" s="10"/>
      <c r="C87" s="51" t="s">
        <v>136</v>
      </c>
      <c r="D87" s="11">
        <f>'Necesidades de insumos'!D55</f>
        <v>126263.88888888888</v>
      </c>
      <c r="E87" s="11">
        <f>'Necesidades de insumos'!E55</f>
        <v>127715.90277777778</v>
      </c>
      <c r="F87" s="11">
        <f>'Necesidades de insumos'!F55</f>
        <v>129390.23729166664</v>
      </c>
      <c r="G87" s="11">
        <f>'Necesidades de insumos'!G55</f>
        <v>131140.55101593747</v>
      </c>
      <c r="H87" s="11">
        <f>'Necesidades de insumos'!H55</f>
        <v>132703.46279031626</v>
      </c>
      <c r="I87" s="11">
        <f>'Necesidades de insumos'!I55</f>
        <v>134015.93702072205</v>
      </c>
      <c r="J87" s="11">
        <f>'Necesidades de insumos'!J55</f>
        <v>135356.09639092934</v>
      </c>
      <c r="K87" s="11">
        <f>'Necesidades de insumos'!K55</f>
        <v>136995.25202111044</v>
      </c>
      <c r="L87" s="11">
        <f>'Necesidades de insumos'!L55</f>
        <v>138494.68414423021</v>
      </c>
    </row>
    <row r="88" spans="2:12">
      <c r="B88" s="10"/>
      <c r="C88" s="51" t="s">
        <v>98</v>
      </c>
      <c r="D88" s="11">
        <f>D85+D86-D87</f>
        <v>10521.99074074073</v>
      </c>
      <c r="E88" s="11">
        <f t="shared" ref="E88:L88" si="34">E85+E86-E87</f>
        <v>10642.991898148146</v>
      </c>
      <c r="F88" s="11">
        <f t="shared" si="34"/>
        <v>10782.519774305561</v>
      </c>
      <c r="G88" s="11">
        <f t="shared" si="34"/>
        <v>10928.379251328122</v>
      </c>
      <c r="H88" s="11">
        <f t="shared" si="34"/>
        <v>11058.621899193036</v>
      </c>
      <c r="I88" s="11">
        <f t="shared" si="34"/>
        <v>11167.99475172683</v>
      </c>
      <c r="J88" s="11">
        <f t="shared" si="34"/>
        <v>11279.674699244119</v>
      </c>
      <c r="K88" s="11">
        <f t="shared" si="34"/>
        <v>11416.271001759218</v>
      </c>
      <c r="L88" s="11">
        <f t="shared" si="34"/>
        <v>11541.223678685841</v>
      </c>
    </row>
    <row r="89" spans="2:12">
      <c r="B89" s="10"/>
      <c r="C89" s="10"/>
      <c r="D89" s="64"/>
      <c r="E89" s="64"/>
      <c r="F89" s="64"/>
      <c r="G89" s="64"/>
      <c r="H89" s="64"/>
      <c r="I89" s="64"/>
      <c r="J89" s="64"/>
      <c r="K89" s="64"/>
      <c r="L89" s="64"/>
    </row>
    <row r="90" spans="2:12">
      <c r="B90" s="10"/>
      <c r="C90" s="65" t="s">
        <v>137</v>
      </c>
      <c r="D90" s="243">
        <f>D87/(12*30)*Parametros!$G$29</f>
        <v>10521.990740740739</v>
      </c>
      <c r="E90" s="243">
        <f>E87/(12*30)*Parametros!$G$29</f>
        <v>10642.991898148148</v>
      </c>
      <c r="F90" s="243">
        <f>F87/(12*30)*Parametros!$G$29</f>
        <v>10782.519774305552</v>
      </c>
      <c r="G90" s="243">
        <f>G87/(12*30)*Parametros!$G$29</f>
        <v>10928.379251328122</v>
      </c>
      <c r="H90" s="243">
        <f>H87/(12*30)*Parametros!$G$29</f>
        <v>11058.621899193022</v>
      </c>
      <c r="I90" s="243">
        <f>I87/(12*30)*Parametros!$G$29</f>
        <v>11167.994751726837</v>
      </c>
      <c r="J90" s="243">
        <f>J87/(12*30)*Parametros!$G$29</f>
        <v>11279.674699244111</v>
      </c>
      <c r="K90" s="243">
        <f>K87/(12*30)*Parametros!$G$29</f>
        <v>11416.271001759204</v>
      </c>
      <c r="L90" s="243">
        <f>L87/(12*30)*Parametros!$G$29</f>
        <v>11541.22367868585</v>
      </c>
    </row>
    <row r="91" spans="2:12">
      <c r="B91" s="10"/>
      <c r="C91" s="51" t="s">
        <v>138</v>
      </c>
      <c r="D91" s="11">
        <f>D87+D90-D85</f>
        <v>126785.87962962961</v>
      </c>
      <c r="E91" s="11">
        <f t="shared" ref="E91:L91" si="35">E87+E90-E85</f>
        <v>127836.9039351852</v>
      </c>
      <c r="F91" s="11">
        <f t="shared" si="35"/>
        <v>129529.76516782405</v>
      </c>
      <c r="G91" s="11">
        <f t="shared" si="35"/>
        <v>131286.41049296001</v>
      </c>
      <c r="H91" s="11">
        <f t="shared" si="35"/>
        <v>132833.70543818118</v>
      </c>
      <c r="I91" s="11">
        <f t="shared" si="35"/>
        <v>134125.30987325584</v>
      </c>
      <c r="J91" s="11">
        <f t="shared" si="35"/>
        <v>135467.77633844662</v>
      </c>
      <c r="K91" s="11">
        <f t="shared" si="35"/>
        <v>137131.84832362554</v>
      </c>
      <c r="L91" s="11">
        <f t="shared" si="35"/>
        <v>138619.63682115683</v>
      </c>
    </row>
    <row r="93" spans="2:12" ht="18">
      <c r="B93" s="25" t="s">
        <v>507</v>
      </c>
      <c r="C93" s="132"/>
      <c r="D93" s="132"/>
      <c r="E93" s="132"/>
      <c r="F93" s="132"/>
      <c r="G93" s="132"/>
      <c r="H93" s="132"/>
      <c r="I93" s="132"/>
      <c r="J93" s="132"/>
      <c r="K93" s="132"/>
    </row>
    <row r="94" spans="2:12">
      <c r="B94" s="134"/>
      <c r="C94" s="132"/>
      <c r="D94" s="132"/>
      <c r="E94" s="132"/>
      <c r="F94" s="132"/>
      <c r="G94" s="132"/>
      <c r="H94" s="132"/>
      <c r="I94" s="132"/>
      <c r="J94" s="132"/>
      <c r="K94" s="132"/>
    </row>
    <row r="95" spans="2:12" ht="18">
      <c r="B95" s="106" t="s">
        <v>107</v>
      </c>
      <c r="C95" s="106">
        <v>2013</v>
      </c>
      <c r="D95" s="106">
        <v>2014</v>
      </c>
      <c r="E95" s="106">
        <v>2015</v>
      </c>
      <c r="F95" s="106">
        <v>2016</v>
      </c>
      <c r="G95" s="106">
        <v>2017</v>
      </c>
      <c r="H95" s="106">
        <v>2018</v>
      </c>
      <c r="I95" s="106">
        <v>2019</v>
      </c>
      <c r="J95" s="106">
        <v>2020</v>
      </c>
      <c r="K95" s="106">
        <v>2021</v>
      </c>
    </row>
    <row r="96" spans="2:12">
      <c r="B96" s="23" t="s">
        <v>494</v>
      </c>
      <c r="C96" s="18">
        <f>'Plan de Compras'!D6</f>
        <v>5522660.3274782123</v>
      </c>
      <c r="D96" s="18">
        <f>'Plan de Compras'!E6</f>
        <v>5580145.0050299568</v>
      </c>
      <c r="E96" s="18">
        <f>'Plan de Compras'!F6</f>
        <v>5627579.8801762518</v>
      </c>
      <c r="F96" s="18">
        <f>'Plan de Compras'!G6</f>
        <v>5691407.2674946925</v>
      </c>
      <c r="G96" s="18">
        <f>'Plan de Compras'!H6</f>
        <v>5753241.1123531656</v>
      </c>
      <c r="H96" s="18">
        <f>'Plan de Compras'!I6</f>
        <v>5826332.4697559699</v>
      </c>
      <c r="I96" s="18">
        <f>'Plan de Compras'!J6</f>
        <v>5884484.2324046586</v>
      </c>
      <c r="J96" s="18">
        <f>'Plan de Compras'!K6</f>
        <v>5952202.78762546</v>
      </c>
      <c r="K96" s="18">
        <f>'Plan de Compras'!L6</f>
        <v>6012304.0450556269</v>
      </c>
    </row>
    <row r="97" spans="2:11">
      <c r="B97" s="23" t="s">
        <v>495</v>
      </c>
      <c r="C97" s="18">
        <f>'Plan de Compras'!D16</f>
        <v>8418480.9579248354</v>
      </c>
      <c r="D97" s="18">
        <f>'Plan de Compras'!E16</f>
        <v>8504109.6843695529</v>
      </c>
      <c r="E97" s="18">
        <f>'Plan de Compras'!F16</f>
        <v>8572534.3832273073</v>
      </c>
      <c r="F97" s="18">
        <f>'Plan de Compras'!G16</f>
        <v>8669161.1671207827</v>
      </c>
      <c r="G97" s="18">
        <f>'Plan de Compras'!H16</f>
        <v>8762556.378203094</v>
      </c>
      <c r="H97" s="18">
        <f>'Plan de Compras'!I16</f>
        <v>8873988.2631757073</v>
      </c>
      <c r="I97" s="18">
        <f>'Plan de Compras'!J16</f>
        <v>8962296.3679694999</v>
      </c>
      <c r="J97" s="18">
        <f>'Plan de Compras'!K16</f>
        <v>9065989.6547464877</v>
      </c>
      <c r="K97" s="18">
        <f>'Plan de Compras'!L16</f>
        <v>9157077.0914591383</v>
      </c>
    </row>
    <row r="98" spans="2:11">
      <c r="B98" s="23" t="s">
        <v>496</v>
      </c>
      <c r="C98" s="18">
        <f>'Plan de Compras'!D26</f>
        <v>2184980.0381263616</v>
      </c>
      <c r="D98" s="18">
        <f>'Plan de Compras'!E26</f>
        <v>2208345.7551584058</v>
      </c>
      <c r="E98" s="18">
        <f>'Plan de Compras'!F26</f>
        <v>2230464.2927085715</v>
      </c>
      <c r="F98" s="18">
        <f>'Plan de Compras'!G26</f>
        <v>2256754.2578375908</v>
      </c>
      <c r="G98" s="18">
        <f>'Plan de Compras'!H26</f>
        <v>2281996.0385108697</v>
      </c>
      <c r="H98" s="18">
        <f>'Plan de Compras'!I26</f>
        <v>2309435.613231773</v>
      </c>
      <c r="I98" s="18">
        <f>'Plan de Compras'!J26</f>
        <v>2332805.1897946321</v>
      </c>
      <c r="J98" s="18">
        <f>'Plan de Compras'!K26</f>
        <v>2359701.980133594</v>
      </c>
      <c r="K98" s="18">
        <f>'Plan de Compras'!L26</f>
        <v>2384168.4820025028</v>
      </c>
    </row>
    <row r="99" spans="2:11">
      <c r="B99" s="23" t="s">
        <v>497</v>
      </c>
      <c r="C99" s="18">
        <f>'Plan de Compras'!D36</f>
        <v>1953416.009667756</v>
      </c>
      <c r="D99" s="18">
        <f>'Plan de Compras'!E36</f>
        <v>1972819.0417994279</v>
      </c>
      <c r="E99" s="18">
        <f>'Plan de Compras'!F36</f>
        <v>1989211.2767296941</v>
      </c>
      <c r="F99" s="18">
        <f>'Plan de Compras'!G36</f>
        <v>2011703.9240420952</v>
      </c>
      <c r="G99" s="18">
        <f>'Plan de Compras'!H36</f>
        <v>2033482.8043034968</v>
      </c>
      <c r="H99" s="18">
        <f>'Plan de Compras'!I36</f>
        <v>2059347.033187031</v>
      </c>
      <c r="I99" s="18">
        <f>'Plan de Compras'!J36</f>
        <v>2079877.3771963064</v>
      </c>
      <c r="J99" s="18">
        <f>'Plan de Compras'!K36</f>
        <v>2103857.0202508173</v>
      </c>
      <c r="K99" s="18">
        <f>'Plan de Compras'!L36</f>
        <v>2125054.2289599357</v>
      </c>
    </row>
    <row r="100" spans="2:11">
      <c r="B100" s="23" t="s">
        <v>498</v>
      </c>
      <c r="C100" s="18">
        <f>'Plan de Compras'!D46</f>
        <v>1446272.4911492374</v>
      </c>
      <c r="D100" s="18">
        <f>'Plan de Compras'!E46</f>
        <v>1461471.4260586873</v>
      </c>
      <c r="E100" s="18">
        <f>'Plan de Compras'!F46</f>
        <v>1471092.2160583979</v>
      </c>
      <c r="F100" s="18">
        <f>'Plan de Compras'!G46</f>
        <v>1486558.2820702549</v>
      </c>
      <c r="G100" s="18">
        <f>'Plan de Compras'!H46</f>
        <v>1502147.9825507724</v>
      </c>
      <c r="H100" s="18">
        <f>'Plan de Compras'!I46</f>
        <v>1522845.7936940074</v>
      </c>
      <c r="I100" s="18">
        <f>'Plan de Compras'!J46</f>
        <v>1538006.27184252</v>
      </c>
      <c r="J100" s="18">
        <f>'Plan de Compras'!K46</f>
        <v>1555329.6269563152</v>
      </c>
      <c r="K100" s="18">
        <f>'Plan de Compras'!L46</f>
        <v>1570575.6816753084</v>
      </c>
    </row>
    <row r="101" spans="2:11">
      <c r="B101" s="23" t="s">
        <v>499</v>
      </c>
      <c r="C101" s="18">
        <f>'Plan de Compras'!D56</f>
        <v>1137728.3564814813</v>
      </c>
      <c r="D101" s="18">
        <f>'Plan de Compras'!E56</f>
        <v>1149254.8513888887</v>
      </c>
      <c r="E101" s="18">
        <f>'Plan de Compras'!F56</f>
        <v>1162305.2978425925</v>
      </c>
      <c r="F101" s="18">
        <f>'Plan de Compras'!G56</f>
        <v>1175781.0250796641</v>
      </c>
      <c r="G101" s="18">
        <f>'Plan de Compras'!H56</f>
        <v>1189229.2230081512</v>
      </c>
      <c r="H101" s="18">
        <f>'Plan de Compras'!I56</f>
        <v>1204672.5313196506</v>
      </c>
      <c r="I101" s="18">
        <f>'Plan de Compras'!J56</f>
        <v>1216960.497196265</v>
      </c>
      <c r="J101" s="18">
        <f>'Plan de Compras'!K56</f>
        <v>1230277.1184021307</v>
      </c>
      <c r="K101" s="18">
        <f>'Plan de Compras'!L56</f>
        <v>1243049.6275742934</v>
      </c>
    </row>
    <row r="102" spans="2:11">
      <c r="B102" s="23" t="s">
        <v>500</v>
      </c>
      <c r="C102" s="13">
        <f>'Plan de Compras'!D66</f>
        <v>342659.42436002172</v>
      </c>
      <c r="D102" s="13">
        <f>'Plan de Compras'!E66</f>
        <v>345987.5099945534</v>
      </c>
      <c r="E102" s="13">
        <f>'Plan de Compras'!F66</f>
        <v>349018.54891179869</v>
      </c>
      <c r="F102" s="13">
        <f>'Plan de Compras'!G66</f>
        <v>352887.07860105613</v>
      </c>
      <c r="G102" s="13">
        <f>'Plan de Compras'!H66</f>
        <v>356740.96774947812</v>
      </c>
      <c r="H102" s="13">
        <f>'Plan de Compras'!I66</f>
        <v>361474.60912959435</v>
      </c>
      <c r="I102" s="13">
        <f>'Plan de Compras'!J66</f>
        <v>365108.59776369313</v>
      </c>
      <c r="J102" s="13">
        <f>'Plan de Compras'!K66</f>
        <v>369193.86051757395</v>
      </c>
      <c r="K102" s="13">
        <f>'Plan de Compras'!L66</f>
        <v>372915.16568319622</v>
      </c>
    </row>
    <row r="103" spans="2:11">
      <c r="B103" s="23" t="s">
        <v>501</v>
      </c>
      <c r="C103" s="13">
        <f>'Plan de Compras'!D76</f>
        <v>283152.27396514162</v>
      </c>
      <c r="D103" s="13">
        <f>'Plan de Compras'!E76</f>
        <v>285424.24745370372</v>
      </c>
      <c r="E103" s="13">
        <f>'Plan de Compras'!F76</f>
        <v>286625.0341593817</v>
      </c>
      <c r="F103" s="13">
        <f>'Plan de Compras'!G76</f>
        <v>289703.70802003884</v>
      </c>
      <c r="G103" s="13">
        <f>'Plan de Compras'!H76</f>
        <v>292594.14765068848</v>
      </c>
      <c r="H103" s="13">
        <f>'Plan de Compras'!I76</f>
        <v>296188.34353470727</v>
      </c>
      <c r="I103" s="13">
        <f>'Plan de Compras'!J76</f>
        <v>299063.65150025516</v>
      </c>
      <c r="J103" s="13">
        <f>'Plan de Compras'!K76</f>
        <v>302740.0296936949</v>
      </c>
      <c r="K103" s="13">
        <f>'Plan de Compras'!L76</f>
        <v>305678.9394714408</v>
      </c>
    </row>
    <row r="104" spans="2:11">
      <c r="B104" s="23" t="s">
        <v>502</v>
      </c>
      <c r="C104" s="18">
        <f>'Plan de Compras'!D86</f>
        <v>126785.87962962961</v>
      </c>
      <c r="D104" s="18">
        <f>'Plan de Compras'!E86</f>
        <v>127836.9039351852</v>
      </c>
      <c r="E104" s="18">
        <f>'Plan de Compras'!F86</f>
        <v>129529.76516782405</v>
      </c>
      <c r="F104" s="18">
        <f>'Plan de Compras'!G86</f>
        <v>131286.41049296001</v>
      </c>
      <c r="G104" s="18">
        <f>'Plan de Compras'!H86</f>
        <v>132833.70543818118</v>
      </c>
      <c r="H104" s="18">
        <f>'Plan de Compras'!I86</f>
        <v>134125.30987325584</v>
      </c>
      <c r="I104" s="18">
        <f>'Plan de Compras'!J86</f>
        <v>135467.77633844662</v>
      </c>
      <c r="J104" s="18">
        <f>'Plan de Compras'!K86</f>
        <v>137131.84832362554</v>
      </c>
      <c r="K104" s="18">
        <f>'Plan de Compras'!L86</f>
        <v>138619.63682115683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Variables</vt:lpstr>
      <vt:lpstr>Parametros</vt:lpstr>
      <vt:lpstr>Flujo de caja</vt:lpstr>
      <vt:lpstr>Balance general</vt:lpstr>
      <vt:lpstr>Formulacion</vt:lpstr>
      <vt:lpstr>Plan de Ventas</vt:lpstr>
      <vt:lpstr>Plan de producción</vt:lpstr>
      <vt:lpstr>Necesidades de insumos</vt:lpstr>
      <vt:lpstr>Plan de Compras</vt:lpstr>
      <vt:lpstr>Compras Valorizadas</vt:lpstr>
      <vt:lpstr>MOD</vt:lpstr>
      <vt:lpstr>Insumos Valorizados</vt:lpstr>
      <vt:lpstr>Consumo Valorizado</vt:lpstr>
      <vt:lpstr>Personal y Servicios</vt:lpstr>
      <vt:lpstr>Costo unitario de produccion</vt:lpstr>
      <vt:lpstr>Activos fijos</vt:lpstr>
      <vt:lpstr>Costos Indirectos</vt:lpstr>
      <vt:lpstr>Costo de ventas</vt:lpstr>
      <vt:lpstr>Cuentas x Cobrar</vt:lpstr>
      <vt:lpstr>Cuentas x Pagar</vt:lpstr>
      <vt:lpstr>Gastos</vt:lpstr>
      <vt:lpstr>IGV e IR</vt:lpstr>
      <vt:lpstr>EGP</vt:lpstr>
      <vt:lpstr>Valorizacion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Vilchez</dc:creator>
  <cp:lastModifiedBy>Alfonso Bedoya</cp:lastModifiedBy>
  <cp:lastPrinted>2013-10-01T07:14:10Z</cp:lastPrinted>
  <dcterms:created xsi:type="dcterms:W3CDTF">2013-09-24T04:34:13Z</dcterms:created>
  <dcterms:modified xsi:type="dcterms:W3CDTF">2013-11-25T03:11:21Z</dcterms:modified>
</cp:coreProperties>
</file>