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\Desktop\Maestría\Tesis\Etapa II\Informe III\Jupyter\"/>
    </mc:Choice>
  </mc:AlternateContent>
  <xr:revisionPtr revIDLastSave="0" documentId="13_ncr:1_{99474CCC-6754-47E9-85EB-F5B2644587F8}" xr6:coauthVersionLast="43" xr6:coauthVersionMax="43" xr10:uidLastSave="{00000000-0000-0000-0000-000000000000}"/>
  <bookViews>
    <workbookView xWindow="-110" yWindow="-110" windowWidth="19420" windowHeight="10420" xr2:uid="{1688BDA4-468B-44D4-BFCD-DB3D70F902FC}"/>
  </bookViews>
  <sheets>
    <sheet name="Cosecha" sheetId="1" r:id="rId1"/>
    <sheet name="Técnicos" sheetId="2" r:id="rId2"/>
    <sheet name="Rendimiento" sheetId="5" r:id="rId3"/>
    <sheet name="Personal" sheetId="3" r:id="rId4"/>
    <sheet name="Indices Ec." sheetId="4" r:id="rId5"/>
    <sheet name="Inflación naciona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2" i="1"/>
  <c r="F12" i="2" l="1"/>
  <c r="F11" i="2"/>
  <c r="C12" i="2"/>
  <c r="C11" i="2"/>
  <c r="C9" i="2"/>
  <c r="D9" i="2"/>
  <c r="F9" i="2"/>
  <c r="E9" i="2"/>
  <c r="F10" i="2"/>
  <c r="C10" i="2"/>
  <c r="F8" i="2"/>
  <c r="E8" i="2"/>
  <c r="D8" i="2"/>
  <c r="F4" i="2"/>
  <c r="E6" i="2" l="1"/>
  <c r="F6" i="2" s="1"/>
  <c r="F2" i="2"/>
  <c r="C5" i="2" l="1"/>
  <c r="E5" i="2"/>
  <c r="F5" i="2" s="1"/>
  <c r="C4" i="2"/>
  <c r="D4" i="2" s="1"/>
  <c r="C3" i="2"/>
  <c r="D3" i="2"/>
  <c r="D10" i="2"/>
  <c r="D11" i="2"/>
  <c r="D12" i="2"/>
  <c r="E9" i="5"/>
  <c r="F9" i="5"/>
  <c r="G9" i="5"/>
  <c r="H9" i="5"/>
  <c r="D9" i="5"/>
  <c r="D6" i="2" l="1"/>
  <c r="D7" i="2"/>
  <c r="D5" i="2"/>
  <c r="C2" i="2"/>
  <c r="E3" i="2" s="1"/>
  <c r="F3" i="2" s="1"/>
  <c r="D2" i="2" l="1"/>
</calcChain>
</file>

<file path=xl/sharedStrings.xml><?xml version="1.0" encoding="utf-8"?>
<sst xmlns="http://schemas.openxmlformats.org/spreadsheetml/2006/main" count="77" uniqueCount="66">
  <si>
    <t>Especie</t>
  </si>
  <si>
    <t>Periodicidad [#Cosechas/año]</t>
  </si>
  <si>
    <t>Costo del solvente [COP/L]</t>
  </si>
  <si>
    <t>Gasto solvente [L/lote]</t>
  </si>
  <si>
    <t>Rendimiento [%]</t>
  </si>
  <si>
    <t>Precio Agente Disp. [COP/kg]</t>
  </si>
  <si>
    <t>Agente dispersante [kg/lote]</t>
  </si>
  <si>
    <t>Lippia Origanoides</t>
  </si>
  <si>
    <t>Equipo</t>
  </si>
  <si>
    <t>Molino de bolas</t>
  </si>
  <si>
    <t>Molino planetario</t>
  </si>
  <si>
    <t>Molino de martillos</t>
  </si>
  <si>
    <t>Molino de discos</t>
  </si>
  <si>
    <t>Molino de rodillos</t>
  </si>
  <si>
    <t>Peletizadora de matriz plana</t>
  </si>
  <si>
    <t>Etapa</t>
  </si>
  <si>
    <t>Preprocesamiento</t>
  </si>
  <si>
    <t>Elución y filtrado</t>
  </si>
  <si>
    <t>Gas inerte</t>
  </si>
  <si>
    <t>Cilindro - pistón</t>
  </si>
  <si>
    <t>Sistema de bombeo</t>
  </si>
  <si>
    <t>Separación de sustancias</t>
  </si>
  <si>
    <t>Bomba de calor</t>
  </si>
  <si>
    <t>Circuito hidráulico</t>
  </si>
  <si>
    <t>Inversión inicial [COP]</t>
  </si>
  <si>
    <t>Mantenimiento [COP/revisión]</t>
  </si>
  <si>
    <t>Periodicidad [#Rev/año]</t>
  </si>
  <si>
    <t>Formación</t>
  </si>
  <si>
    <t>Parámetro</t>
  </si>
  <si>
    <t>Operario</t>
  </si>
  <si>
    <t>Cantidad de personal</t>
  </si>
  <si>
    <t>Interés BM</t>
  </si>
  <si>
    <t>TREMA</t>
  </si>
  <si>
    <t>Inflación nacional</t>
  </si>
  <si>
    <t>Inflación USD</t>
  </si>
  <si>
    <t>Impuestos nacionales</t>
  </si>
  <si>
    <t>Cantidad [Plant/Hec]</t>
  </si>
  <si>
    <t>Peso [kg/Planta]</t>
  </si>
  <si>
    <t>Coef. Rendimiento</t>
  </si>
  <si>
    <t>Inversión inicial [COP]*</t>
  </si>
  <si>
    <t>Referencia</t>
  </si>
  <si>
    <t>Granulometría [um]</t>
  </si>
  <si>
    <t>Mordazas</t>
  </si>
  <si>
    <t>Peletizado</t>
  </si>
  <si>
    <t>Martillos</t>
  </si>
  <si>
    <t>Discos</t>
  </si>
  <si>
    <t>N10</t>
  </si>
  <si>
    <t>N20</t>
  </si>
  <si>
    <t>N40</t>
  </si>
  <si>
    <t>N60</t>
  </si>
  <si>
    <t>N100</t>
  </si>
  <si>
    <t>N200</t>
  </si>
  <si>
    <t>Restante</t>
  </si>
  <si>
    <t>-</t>
  </si>
  <si>
    <t>TOTAL</t>
  </si>
  <si>
    <t>Potencia [kW]</t>
  </si>
  <si>
    <t>Consumo energético [kW-h]**</t>
  </si>
  <si>
    <t>Pérdida solvente [%]</t>
  </si>
  <si>
    <t>Precio Ext. [USD/kg]</t>
  </si>
  <si>
    <t>Precio carga [COP/carga]</t>
  </si>
  <si>
    <t>Unidad de carga [kg/carga]</t>
  </si>
  <si>
    <t>Lippia Canescens</t>
  </si>
  <si>
    <t>Salario individual [COP/mensual]</t>
  </si>
  <si>
    <t>Valor</t>
  </si>
  <si>
    <t>Tarifa kW-h</t>
  </si>
  <si>
    <t>Tecnólogo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</si>
</sst>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2" fillId="0" borderId="1" xfId="0" applyFont="1" applyBorder="1"/>
    <xf numFmtId="42" fontId="0" fillId="0" borderId="1" xfId="1" applyFont="1" applyBorder="1"/>
    <xf numFmtId="9" fontId="1" fillId="0" borderId="1" xfId="2" applyFont="1" applyBorder="1"/>
    <xf numFmtId="0" fontId="1" fillId="0" borderId="1" xfId="0" applyFont="1" applyFill="1" applyBorder="1"/>
    <xf numFmtId="9" fontId="0" fillId="0" borderId="1" xfId="2" applyFont="1" applyBorder="1"/>
    <xf numFmtId="0" fontId="0" fillId="0" borderId="1" xfId="0" applyBorder="1" applyAlignment="1">
      <alignment horizontal="center"/>
    </xf>
    <xf numFmtId="164" fontId="0" fillId="0" borderId="1" xfId="2" applyNumberFormat="1" applyFont="1" applyBorder="1"/>
    <xf numFmtId="164" fontId="0" fillId="0" borderId="1" xfId="2" applyNumberFormat="1" applyFont="1" applyBorder="1" applyAlignment="1">
      <alignment horizontal="center" vertical="center"/>
    </xf>
    <xf numFmtId="0" fontId="0" fillId="0" borderId="3" xfId="0" applyBorder="1"/>
    <xf numFmtId="42" fontId="0" fillId="0" borderId="3" xfId="1" applyFont="1" applyBorder="1"/>
    <xf numFmtId="164" fontId="0" fillId="0" borderId="3" xfId="2" applyNumberFormat="1" applyFont="1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164" fontId="0" fillId="0" borderId="8" xfId="2" applyNumberFormat="1" applyFont="1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3" xfId="0" applyFill="1" applyBorder="1"/>
    <xf numFmtId="164" fontId="0" fillId="0" borderId="3" xfId="2" applyNumberFormat="1" applyFont="1" applyBorder="1" applyAlignment="1">
      <alignment horizontal="center" vertical="center"/>
    </xf>
    <xf numFmtId="0" fontId="0" fillId="0" borderId="8" xfId="0" applyFill="1" applyBorder="1"/>
    <xf numFmtId="42" fontId="0" fillId="0" borderId="8" xfId="1" applyFont="1" applyFill="1" applyBorder="1"/>
    <xf numFmtId="164" fontId="0" fillId="0" borderId="8" xfId="2" applyNumberFormat="1" applyFont="1" applyBorder="1" applyAlignment="1">
      <alignment horizontal="center" vertical="center"/>
    </xf>
    <xf numFmtId="2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164" fontId="1" fillId="0" borderId="1" xfId="2" applyNumberFormat="1" applyFont="1" applyBorder="1"/>
    <xf numFmtId="42" fontId="0" fillId="0" borderId="1" xfId="1" applyFont="1" applyBorder="1" applyAlignment="1">
      <alignment horizontal="center"/>
    </xf>
    <xf numFmtId="42" fontId="0" fillId="0" borderId="8" xfId="1" applyFont="1" applyBorder="1" applyAlignment="1">
      <alignment horizontal="center"/>
    </xf>
    <xf numFmtId="42" fontId="0" fillId="0" borderId="3" xfId="1" applyFont="1" applyBorder="1" applyAlignment="1">
      <alignment vertical="center"/>
    </xf>
    <xf numFmtId="42" fontId="0" fillId="0" borderId="3" xfId="1" applyFont="1" applyFill="1" applyBorder="1" applyAlignment="1">
      <alignment horizontal="center"/>
    </xf>
    <xf numFmtId="165" fontId="0" fillId="0" borderId="3" xfId="0" applyNumberFormat="1" applyBorder="1"/>
    <xf numFmtId="42" fontId="0" fillId="0" borderId="1" xfId="1" applyFont="1" applyFill="1" applyBorder="1" applyAlignment="1">
      <alignment horizontal="center"/>
    </xf>
    <xf numFmtId="42" fontId="0" fillId="0" borderId="13" xfId="1" applyFont="1" applyBorder="1"/>
    <xf numFmtId="42" fontId="1" fillId="0" borderId="1" xfId="1" applyFont="1" applyBorder="1"/>
    <xf numFmtId="42" fontId="0" fillId="0" borderId="0" xfId="1" applyFont="1"/>
    <xf numFmtId="42" fontId="0" fillId="0" borderId="1" xfId="1" applyFont="1" applyFill="1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0963-8C4E-4A9F-82DA-1A2217A1CDC1}">
  <dimension ref="A1:M3"/>
  <sheetViews>
    <sheetView tabSelected="1" workbookViewId="0">
      <selection activeCell="G4" sqref="G4"/>
    </sheetView>
  </sheetViews>
  <sheetFormatPr baseColWidth="10" defaultRowHeight="14.5" x14ac:dyDescent="0.35"/>
  <cols>
    <col min="1" max="1" width="16.54296875" bestFit="1" customWidth="1"/>
    <col min="2" max="2" width="18.90625" style="41" bestFit="1" customWidth="1"/>
    <col min="3" max="3" width="22.90625" style="41" bestFit="1" customWidth="1"/>
    <col min="4" max="4" width="23.36328125" bestFit="1" customWidth="1"/>
    <col min="5" max="5" width="25.54296875" bestFit="1" customWidth="1"/>
    <col min="6" max="6" width="22.08984375" bestFit="1" customWidth="1"/>
    <col min="7" max="7" width="14.6328125" bestFit="1" customWidth="1"/>
    <col min="8" max="8" width="16.453125" bestFit="1" customWidth="1"/>
    <col min="9" max="9" width="24.54296875" style="41" bestFit="1" customWidth="1"/>
    <col min="10" max="10" width="19.7265625" bestFit="1" customWidth="1"/>
    <col min="11" max="11" width="18.08984375" bestFit="1" customWidth="1"/>
    <col min="12" max="12" width="26.54296875" style="41" bestFit="1" customWidth="1"/>
    <col min="13" max="13" width="24.54296875" bestFit="1" customWidth="1"/>
  </cols>
  <sheetData>
    <row r="1" spans="1:13" s="1" customFormat="1" x14ac:dyDescent="0.35">
      <c r="A1" s="3" t="s">
        <v>0</v>
      </c>
      <c r="B1" s="40" t="s">
        <v>58</v>
      </c>
      <c r="C1" s="40" t="s">
        <v>59</v>
      </c>
      <c r="D1" s="3" t="s">
        <v>60</v>
      </c>
      <c r="E1" s="3" t="s">
        <v>1</v>
      </c>
      <c r="F1" s="3" t="s">
        <v>36</v>
      </c>
      <c r="G1" s="3" t="s">
        <v>37</v>
      </c>
      <c r="H1" s="3" t="s">
        <v>38</v>
      </c>
      <c r="I1" s="40" t="s">
        <v>2</v>
      </c>
      <c r="J1" s="3" t="s">
        <v>3</v>
      </c>
      <c r="K1" s="3" t="s">
        <v>57</v>
      </c>
      <c r="L1" s="40" t="s">
        <v>5</v>
      </c>
      <c r="M1" s="3" t="s">
        <v>6</v>
      </c>
    </row>
    <row r="2" spans="1:13" x14ac:dyDescent="0.35">
      <c r="A2" s="5" t="s">
        <v>7</v>
      </c>
      <c r="B2" s="6">
        <v>40</v>
      </c>
      <c r="C2" s="6">
        <v>300000</v>
      </c>
      <c r="D2" s="2">
        <v>6000</v>
      </c>
      <c r="E2" s="2">
        <v>4</v>
      </c>
      <c r="F2" s="2">
        <v>20000</v>
      </c>
      <c r="G2" s="2">
        <v>0.15</v>
      </c>
      <c r="H2" s="2">
        <v>1</v>
      </c>
      <c r="I2" s="6">
        <v>60000</v>
      </c>
      <c r="J2" s="2">
        <v>150</v>
      </c>
      <c r="K2" s="9">
        <v>0.15</v>
      </c>
      <c r="L2" s="6">
        <v>101.25</v>
      </c>
      <c r="M2" s="2">
        <f>8*20</f>
        <v>160</v>
      </c>
    </row>
    <row r="3" spans="1:13" x14ac:dyDescent="0.35">
      <c r="A3" s="5" t="s">
        <v>61</v>
      </c>
      <c r="B3" s="6">
        <v>20</v>
      </c>
      <c r="C3" s="6">
        <v>300000</v>
      </c>
      <c r="D3" s="2">
        <v>5800</v>
      </c>
      <c r="E3" s="2">
        <v>4</v>
      </c>
      <c r="F3" s="2">
        <v>18500</v>
      </c>
      <c r="G3" s="2">
        <v>0.12</v>
      </c>
      <c r="H3" s="2">
        <v>0.8</v>
      </c>
      <c r="I3" s="6">
        <v>23900</v>
      </c>
      <c r="J3" s="2">
        <v>150</v>
      </c>
      <c r="K3" s="9">
        <v>0.1</v>
      </c>
      <c r="L3" s="6">
        <v>101.25</v>
      </c>
      <c r="M3" s="2">
        <f>8*20</f>
        <v>160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AC0F7-9757-4BC7-822C-3482E40F7588}">
  <dimension ref="A1:I12"/>
  <sheetViews>
    <sheetView workbookViewId="0">
      <selection activeCell="G4" sqref="G4"/>
    </sheetView>
  </sheetViews>
  <sheetFormatPr baseColWidth="10" defaultRowHeight="14.5" x14ac:dyDescent="0.35"/>
  <cols>
    <col min="1" max="1" width="21.7265625" bestFit="1" customWidth="1"/>
    <col min="2" max="2" width="24.6328125" bestFit="1" customWidth="1"/>
    <col min="3" max="4" width="20.08984375" bestFit="1" customWidth="1"/>
    <col min="5" max="5" width="12.6328125" bestFit="1" customWidth="1"/>
    <col min="6" max="6" width="26.54296875" bestFit="1" customWidth="1"/>
    <col min="7" max="7" width="14.7265625" bestFit="1" customWidth="1"/>
    <col min="8" max="8" width="26.81640625" bestFit="1" customWidth="1"/>
    <col min="9" max="9" width="21.08984375" bestFit="1" customWidth="1"/>
  </cols>
  <sheetData>
    <row r="1" spans="1:9" s="1" customFormat="1" ht="15" thickBot="1" x14ac:dyDescent="0.4">
      <c r="A1" s="21" t="s">
        <v>15</v>
      </c>
      <c r="B1" s="22" t="s">
        <v>8</v>
      </c>
      <c r="C1" s="22" t="s">
        <v>24</v>
      </c>
      <c r="D1" s="22" t="s">
        <v>39</v>
      </c>
      <c r="E1" s="22" t="s">
        <v>55</v>
      </c>
      <c r="F1" s="22" t="s">
        <v>56</v>
      </c>
      <c r="G1" s="22" t="s">
        <v>4</v>
      </c>
      <c r="H1" s="22" t="s">
        <v>25</v>
      </c>
      <c r="I1" s="23" t="s">
        <v>26</v>
      </c>
    </row>
    <row r="2" spans="1:9" ht="15" thickBot="1" x14ac:dyDescent="0.4">
      <c r="A2" s="43" t="s">
        <v>16</v>
      </c>
      <c r="B2" s="13" t="s">
        <v>9</v>
      </c>
      <c r="C2" s="14">
        <f>(5000*3467)</f>
        <v>17335000</v>
      </c>
      <c r="D2" s="14">
        <f>C2*1.1 + C2*0.19</f>
        <v>22362150</v>
      </c>
      <c r="E2" s="13">
        <v>7.5</v>
      </c>
      <c r="F2" s="13">
        <f>E2*2</f>
        <v>15</v>
      </c>
      <c r="G2" s="15">
        <v>5.3999999999999999E-2</v>
      </c>
      <c r="H2" s="13"/>
      <c r="I2" s="16"/>
    </row>
    <row r="3" spans="1:9" ht="15" thickBot="1" x14ac:dyDescent="0.4">
      <c r="A3" s="44"/>
      <c r="B3" s="2" t="s">
        <v>10</v>
      </c>
      <c r="C3" s="6">
        <f>(12054.85*3467)</f>
        <v>41794164.950000003</v>
      </c>
      <c r="D3" s="14">
        <f t="shared" ref="D3:D12" si="0">C3*1.1 + C3*0.19</f>
        <v>53914472.785500005</v>
      </c>
      <c r="E3" s="31">
        <f>E2*C3/C2</f>
        <v>18.082274999999999</v>
      </c>
      <c r="F3" s="31">
        <f>E3*1</f>
        <v>18.082274999999999</v>
      </c>
      <c r="G3" s="11">
        <v>5.6000000000000001E-2</v>
      </c>
      <c r="H3" s="2"/>
      <c r="I3" s="17"/>
    </row>
    <row r="4" spans="1:9" ht="15" thickBot="1" x14ac:dyDescent="0.4">
      <c r="A4" s="44"/>
      <c r="B4" s="2" t="s">
        <v>11</v>
      </c>
      <c r="C4" s="6">
        <f>300*3467</f>
        <v>1040100</v>
      </c>
      <c r="D4" s="14">
        <f>C4*1.1 + C4*0.19 + 1600000</f>
        <v>2941729</v>
      </c>
      <c r="E4" s="2">
        <v>2.2000000000000002</v>
      </c>
      <c r="F4" s="30">
        <f>E4*3+5*0.7457*20/60</f>
        <v>7.842833333333334</v>
      </c>
      <c r="G4" s="11">
        <v>2.1999999999999999E-2</v>
      </c>
      <c r="H4" s="2"/>
      <c r="I4" s="17"/>
    </row>
    <row r="5" spans="1:9" ht="15" thickBot="1" x14ac:dyDescent="0.4">
      <c r="A5" s="44"/>
      <c r="B5" s="2" t="s">
        <v>13</v>
      </c>
      <c r="C5" s="6">
        <f>1800*3467</f>
        <v>6240600</v>
      </c>
      <c r="D5" s="14">
        <f>C5*1.1 + C5*0.19 + D4</f>
        <v>10992103</v>
      </c>
      <c r="E5" s="2">
        <f>7.5</f>
        <v>7.5</v>
      </c>
      <c r="F5" s="30">
        <f>F4+E5*0.5</f>
        <v>11.592833333333335</v>
      </c>
      <c r="G5" s="11">
        <v>2.7E-2</v>
      </c>
      <c r="H5" s="2"/>
      <c r="I5" s="17"/>
    </row>
    <row r="6" spans="1:9" ht="15" thickBot="1" x14ac:dyDescent="0.4">
      <c r="A6" s="44"/>
      <c r="B6" s="2" t="s">
        <v>12</v>
      </c>
      <c r="C6" s="33" t="s">
        <v>53</v>
      </c>
      <c r="D6" s="14">
        <f>1620000+D4</f>
        <v>4561729</v>
      </c>
      <c r="E6" s="30">
        <f>3*0.7457</f>
        <v>2.2370999999999999</v>
      </c>
      <c r="F6" s="30">
        <f>E6*1+F4</f>
        <v>10.079933333333333</v>
      </c>
      <c r="G6" s="11">
        <v>2.7E-2</v>
      </c>
      <c r="H6" s="2"/>
      <c r="I6" s="17"/>
    </row>
    <row r="7" spans="1:9" ht="15" thickBot="1" x14ac:dyDescent="0.4">
      <c r="A7" s="45"/>
      <c r="B7" s="18" t="s">
        <v>14</v>
      </c>
      <c r="C7" s="34" t="s">
        <v>53</v>
      </c>
      <c r="D7" s="14">
        <f>2500000+D4</f>
        <v>5441729</v>
      </c>
      <c r="E7">
        <v>2</v>
      </c>
      <c r="F7" s="18">
        <v>20.8</v>
      </c>
      <c r="G7" s="19">
        <v>4.3999999999999997E-2</v>
      </c>
      <c r="H7" s="18"/>
      <c r="I7" s="20"/>
    </row>
    <row r="8" spans="1:9" ht="15" thickBot="1" x14ac:dyDescent="0.4">
      <c r="A8" s="43" t="s">
        <v>17</v>
      </c>
      <c r="B8" s="24" t="s">
        <v>18</v>
      </c>
      <c r="C8" s="36" t="s">
        <v>53</v>
      </c>
      <c r="D8" s="14">
        <f>1594000</f>
        <v>1594000</v>
      </c>
      <c r="E8" s="37">
        <f>2*0.7457</f>
        <v>1.4914000000000001</v>
      </c>
      <c r="F8" s="37">
        <f>E8*1</f>
        <v>1.4914000000000001</v>
      </c>
      <c r="G8" s="25" t="s">
        <v>53</v>
      </c>
      <c r="H8" s="13"/>
      <c r="I8" s="16"/>
    </row>
    <row r="9" spans="1:9" ht="15" thickBot="1" x14ac:dyDescent="0.4">
      <c r="A9" s="44"/>
      <c r="B9" s="4" t="s">
        <v>19</v>
      </c>
      <c r="C9" s="38">
        <f>8700*48.52</f>
        <v>422124</v>
      </c>
      <c r="D9" s="35">
        <f>250000+C9*1.1+C9*0-19</f>
        <v>714317.4</v>
      </c>
      <c r="E9" s="29">
        <f>0.7457</f>
        <v>0.74570000000000003</v>
      </c>
      <c r="F9" s="29">
        <f>E9*1</f>
        <v>0.74570000000000003</v>
      </c>
      <c r="G9" s="12" t="s">
        <v>53</v>
      </c>
      <c r="H9" s="2"/>
      <c r="I9" s="17"/>
    </row>
    <row r="10" spans="1:9" ht="15" thickBot="1" x14ac:dyDescent="0.4">
      <c r="A10" s="45"/>
      <c r="B10" s="26" t="s">
        <v>20</v>
      </c>
      <c r="C10" s="27">
        <f>1000*3467</f>
        <v>3467000</v>
      </c>
      <c r="D10" s="14">
        <f>C10*1.1 + C10*0.19</f>
        <v>4472430</v>
      </c>
      <c r="E10" s="18">
        <v>1</v>
      </c>
      <c r="F10" s="18">
        <f>E10*1</f>
        <v>1</v>
      </c>
      <c r="G10" s="28" t="s">
        <v>53</v>
      </c>
      <c r="H10" s="18"/>
      <c r="I10" s="20"/>
    </row>
    <row r="11" spans="1:9" ht="15" thickBot="1" x14ac:dyDescent="0.4">
      <c r="A11" s="43" t="s">
        <v>21</v>
      </c>
      <c r="B11" s="24" t="s">
        <v>22</v>
      </c>
      <c r="C11" s="39">
        <f>10000*3457</f>
        <v>34570000</v>
      </c>
      <c r="D11" s="14">
        <f t="shared" si="0"/>
        <v>44595300</v>
      </c>
      <c r="E11" s="13">
        <v>15</v>
      </c>
      <c r="F11" s="13">
        <f>E11*1</f>
        <v>15</v>
      </c>
      <c r="G11" s="25" t="s">
        <v>53</v>
      </c>
      <c r="H11" s="13"/>
      <c r="I11" s="16"/>
    </row>
    <row r="12" spans="1:9" ht="15" thickBot="1" x14ac:dyDescent="0.4">
      <c r="A12" s="45"/>
      <c r="B12" s="26" t="s">
        <v>23</v>
      </c>
      <c r="C12" s="27">
        <f>C11*1.3</f>
        <v>44941000</v>
      </c>
      <c r="D12" s="14">
        <f t="shared" si="0"/>
        <v>57973890.000000007</v>
      </c>
      <c r="E12" s="18">
        <v>10</v>
      </c>
      <c r="F12" s="18">
        <f>E12*1</f>
        <v>10</v>
      </c>
      <c r="G12" s="28" t="s">
        <v>53</v>
      </c>
      <c r="H12" s="18"/>
      <c r="I12" s="20"/>
    </row>
  </sheetData>
  <mergeCells count="3">
    <mergeCell ref="A2:A7"/>
    <mergeCell ref="A8:A10"/>
    <mergeCell ref="A11:A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D51A2-8413-42F7-9B87-6387D1035D8B}">
  <dimension ref="A1:H9"/>
  <sheetViews>
    <sheetView workbookViewId="0">
      <selection activeCell="C15" sqref="C15"/>
    </sheetView>
  </sheetViews>
  <sheetFormatPr baseColWidth="10" defaultRowHeight="14.5" x14ac:dyDescent="0.35"/>
  <cols>
    <col min="2" max="2" width="17.6328125" bestFit="1" customWidth="1"/>
    <col min="3" max="3" width="14.7265625" bestFit="1" customWidth="1"/>
    <col min="4" max="4" width="14.1796875" bestFit="1" customWidth="1"/>
  </cols>
  <sheetData>
    <row r="1" spans="1:8" x14ac:dyDescent="0.35">
      <c r="A1" s="3" t="s">
        <v>40</v>
      </c>
      <c r="B1" s="3" t="s">
        <v>41</v>
      </c>
      <c r="C1" s="3" t="s">
        <v>4</v>
      </c>
      <c r="D1" s="3" t="s">
        <v>9</v>
      </c>
      <c r="E1" s="7" t="s">
        <v>42</v>
      </c>
      <c r="F1" s="8" t="s">
        <v>43</v>
      </c>
      <c r="G1" s="8" t="s">
        <v>44</v>
      </c>
      <c r="H1" s="8" t="s">
        <v>45</v>
      </c>
    </row>
    <row r="2" spans="1:8" x14ac:dyDescent="0.35">
      <c r="A2" s="2" t="s">
        <v>46</v>
      </c>
      <c r="B2" s="2">
        <v>2000</v>
      </c>
      <c r="C2" s="11">
        <v>6.0000000000000001E-3</v>
      </c>
      <c r="D2" s="9">
        <v>0</v>
      </c>
      <c r="E2" s="9">
        <v>0</v>
      </c>
      <c r="F2" s="9">
        <v>1.1941056910569077E-2</v>
      </c>
      <c r="G2" s="9">
        <v>0.23010546500479154</v>
      </c>
      <c r="H2" s="9">
        <v>0.12332990750256798</v>
      </c>
    </row>
    <row r="3" spans="1:8" x14ac:dyDescent="0.35">
      <c r="A3" s="2" t="s">
        <v>47</v>
      </c>
      <c r="B3" s="2">
        <v>850</v>
      </c>
      <c r="C3" s="11">
        <v>1.7000000000000001E-2</v>
      </c>
      <c r="D3" s="9">
        <v>8.1967213114772439E-3</v>
      </c>
      <c r="E3" s="9">
        <v>4.0453074433656727E-2</v>
      </c>
      <c r="F3" s="9">
        <v>9.3749999999999931E-2</v>
      </c>
      <c r="G3" s="9">
        <v>0.44103547459252346</v>
      </c>
      <c r="H3" s="9">
        <v>0.30832476875642284</v>
      </c>
    </row>
    <row r="4" spans="1:8" x14ac:dyDescent="0.35">
      <c r="A4" s="2" t="s">
        <v>48</v>
      </c>
      <c r="B4" s="2">
        <v>425</v>
      </c>
      <c r="C4" s="11">
        <v>3.4000000000000002E-2</v>
      </c>
      <c r="D4" s="9">
        <v>8.1967213114753787E-2</v>
      </c>
      <c r="E4" s="9">
        <v>0.50970873786407567</v>
      </c>
      <c r="F4" s="9">
        <v>0.33866869918699188</v>
      </c>
      <c r="G4" s="9">
        <v>0.18216682646212617</v>
      </c>
      <c r="H4" s="9">
        <v>0.38026721479958703</v>
      </c>
    </row>
    <row r="5" spans="1:8" x14ac:dyDescent="0.35">
      <c r="A5" s="2" t="s">
        <v>49</v>
      </c>
      <c r="B5" s="2">
        <v>250</v>
      </c>
      <c r="C5" s="11">
        <v>4.1000000000000002E-2</v>
      </c>
      <c r="D5" s="9">
        <v>0.32786885245901515</v>
      </c>
      <c r="E5" s="9">
        <v>0.18608414239482188</v>
      </c>
      <c r="F5" s="9">
        <v>0.22383130081300817</v>
      </c>
      <c r="G5" s="9">
        <v>0.11505273250239577</v>
      </c>
      <c r="H5" s="9">
        <v>0.15416238437821142</v>
      </c>
    </row>
    <row r="6" spans="1:8" x14ac:dyDescent="0.35">
      <c r="A6" s="2" t="s">
        <v>50</v>
      </c>
      <c r="B6" s="2">
        <v>106</v>
      </c>
      <c r="C6" s="11">
        <v>6.4000000000000001E-2</v>
      </c>
      <c r="D6" s="9">
        <v>0.38524590163934191</v>
      </c>
      <c r="E6" s="9">
        <v>0.18042071197411047</v>
      </c>
      <c r="F6" s="9">
        <v>0.15929878048780485</v>
      </c>
      <c r="G6" s="9">
        <v>9.5877277085352521E-3</v>
      </c>
      <c r="H6" s="9">
        <v>2.0554984583766197E-2</v>
      </c>
    </row>
    <row r="7" spans="1:8" x14ac:dyDescent="0.35">
      <c r="A7" s="2" t="s">
        <v>51</v>
      </c>
      <c r="B7" s="2">
        <v>75</v>
      </c>
      <c r="C7" s="11">
        <v>6.5000000000000002E-2</v>
      </c>
      <c r="D7" s="9">
        <v>0.18852459016393466</v>
      </c>
      <c r="E7" s="9">
        <v>6.7152103559868878E-2</v>
      </c>
      <c r="F7" s="9">
        <v>0.13795731707317074</v>
      </c>
      <c r="G7" s="9">
        <v>1.2464046021092556E-2</v>
      </c>
      <c r="H7" s="9">
        <v>3.0832476875614244E-3</v>
      </c>
    </row>
    <row r="8" spans="1:8" x14ac:dyDescent="0.35">
      <c r="A8" s="2" t="s">
        <v>52</v>
      </c>
      <c r="B8" s="10" t="s">
        <v>53</v>
      </c>
      <c r="C8" s="11">
        <v>6.7000000000000004E-2</v>
      </c>
      <c r="D8" s="9">
        <v>8.1967213114772439E-3</v>
      </c>
      <c r="E8" s="9">
        <v>1.6181229773466369E-2</v>
      </c>
      <c r="F8" s="9">
        <v>3.4552845528455341E-2</v>
      </c>
      <c r="G8" s="9">
        <v>9.5877277085352521E-3</v>
      </c>
      <c r="H8" s="9">
        <v>1.0277492291883098E-2</v>
      </c>
    </row>
    <row r="9" spans="1:8" x14ac:dyDescent="0.35">
      <c r="A9" s="8" t="s">
        <v>54</v>
      </c>
      <c r="B9" s="46" t="s">
        <v>53</v>
      </c>
      <c r="C9" s="46"/>
      <c r="D9" s="32">
        <f>SUMPRODUCT($C$2:$C$8,D2:D8)</f>
        <v>5.3827868852458972E-2</v>
      </c>
      <c r="E9" s="32">
        <f t="shared" ref="E9:H9" si="0">SUMPRODUCT($C$2:$C$8,E2:E8)</f>
        <v>4.2643203883495233E-2</v>
      </c>
      <c r="F9" s="32">
        <f t="shared" si="0"/>
        <v>4.38346036585366E-2</v>
      </c>
      <c r="G9" s="32">
        <f t="shared" si="0"/>
        <v>2.1855225311601299E-2</v>
      </c>
      <c r="H9" s="32">
        <f t="shared" si="0"/>
        <v>2.7435765673175926E-2</v>
      </c>
    </row>
  </sheetData>
  <mergeCells count="1">
    <mergeCell ref="B9:C9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5FEE-6996-4EBB-9B5A-D4EADA31A8DD}">
  <dimension ref="A1:C20"/>
  <sheetViews>
    <sheetView workbookViewId="0">
      <selection activeCell="B5" sqref="B5"/>
    </sheetView>
  </sheetViews>
  <sheetFormatPr baseColWidth="10" defaultRowHeight="14.5" x14ac:dyDescent="0.35"/>
  <cols>
    <col min="1" max="1" width="19" bestFit="1" customWidth="1"/>
    <col min="2" max="2" width="18.7265625" bestFit="1" customWidth="1"/>
    <col min="3" max="3" width="28.453125" bestFit="1" customWidth="1"/>
    <col min="4" max="4" width="13.81640625" bestFit="1" customWidth="1"/>
  </cols>
  <sheetData>
    <row r="1" spans="1:3" s="1" customFormat="1" x14ac:dyDescent="0.35">
      <c r="A1" s="3" t="s">
        <v>27</v>
      </c>
      <c r="B1" s="3" t="s">
        <v>30</v>
      </c>
      <c r="C1" s="3" t="s">
        <v>62</v>
      </c>
    </row>
    <row r="2" spans="1:3" x14ac:dyDescent="0.35">
      <c r="A2" s="2" t="s">
        <v>29</v>
      </c>
      <c r="B2" s="2">
        <v>1</v>
      </c>
      <c r="C2" s="6">
        <v>960615</v>
      </c>
    </row>
    <row r="3" spans="1:3" x14ac:dyDescent="0.35">
      <c r="A3" s="2" t="s">
        <v>65</v>
      </c>
      <c r="B3" s="2">
        <v>1</v>
      </c>
      <c r="C3" s="6">
        <v>1392000</v>
      </c>
    </row>
    <row r="4" spans="1:3" x14ac:dyDescent="0.35">
      <c r="C4" s="41"/>
    </row>
    <row r="5" spans="1:3" x14ac:dyDescent="0.35">
      <c r="C5" s="41"/>
    </row>
    <row r="6" spans="1:3" x14ac:dyDescent="0.35">
      <c r="C6" s="41"/>
    </row>
    <row r="7" spans="1:3" x14ac:dyDescent="0.35">
      <c r="C7" s="41"/>
    </row>
    <row r="8" spans="1:3" x14ac:dyDescent="0.35">
      <c r="C8" s="41"/>
    </row>
    <row r="9" spans="1:3" x14ac:dyDescent="0.35">
      <c r="C9" s="41"/>
    </row>
    <row r="10" spans="1:3" x14ac:dyDescent="0.35">
      <c r="C10" s="41"/>
    </row>
    <row r="11" spans="1:3" x14ac:dyDescent="0.35">
      <c r="C11" s="41"/>
    </row>
    <row r="12" spans="1:3" x14ac:dyDescent="0.35">
      <c r="C12" s="41"/>
    </row>
    <row r="13" spans="1:3" x14ac:dyDescent="0.35">
      <c r="C13" s="41"/>
    </row>
    <row r="14" spans="1:3" x14ac:dyDescent="0.35">
      <c r="C14" s="41"/>
    </row>
    <row r="15" spans="1:3" x14ac:dyDescent="0.35">
      <c r="C15" s="41"/>
    </row>
    <row r="16" spans="1:3" x14ac:dyDescent="0.35">
      <c r="C16" s="41"/>
    </row>
    <row r="17" spans="3:3" x14ac:dyDescent="0.35">
      <c r="C17" s="41"/>
    </row>
    <row r="18" spans="3:3" x14ac:dyDescent="0.35">
      <c r="C18" s="41"/>
    </row>
    <row r="19" spans="3:3" x14ac:dyDescent="0.35">
      <c r="C19" s="41"/>
    </row>
    <row r="20" spans="3:3" x14ac:dyDescent="0.35">
      <c r="C20" s="41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6663-7403-42CC-923C-72086978D676}">
  <dimension ref="A1:B7"/>
  <sheetViews>
    <sheetView workbookViewId="0">
      <selection activeCell="B3" sqref="B3"/>
    </sheetView>
  </sheetViews>
  <sheetFormatPr baseColWidth="10" defaultRowHeight="14.5" x14ac:dyDescent="0.35"/>
  <cols>
    <col min="1" max="1" width="18.90625" bestFit="1" customWidth="1"/>
  </cols>
  <sheetData>
    <row r="1" spans="1:2" s="1" customFormat="1" x14ac:dyDescent="0.35">
      <c r="A1" s="3" t="s">
        <v>28</v>
      </c>
      <c r="B1" s="3" t="s">
        <v>63</v>
      </c>
    </row>
    <row r="2" spans="1:2" x14ac:dyDescent="0.35">
      <c r="A2" s="2" t="s">
        <v>31</v>
      </c>
      <c r="B2" s="11">
        <v>0.121</v>
      </c>
    </row>
    <row r="3" spans="1:2" x14ac:dyDescent="0.35">
      <c r="A3" s="2" t="s">
        <v>32</v>
      </c>
      <c r="B3" s="11">
        <v>0.25</v>
      </c>
    </row>
    <row r="4" spans="1:2" x14ac:dyDescent="0.35">
      <c r="A4" s="2" t="s">
        <v>33</v>
      </c>
      <c r="B4" s="11">
        <v>3.6600000000000001E-2</v>
      </c>
    </row>
    <row r="5" spans="1:2" x14ac:dyDescent="0.35">
      <c r="A5" s="2" t="s">
        <v>34</v>
      </c>
      <c r="B5" s="11">
        <v>1.8100000000000002E-2</v>
      </c>
    </row>
    <row r="6" spans="1:2" x14ac:dyDescent="0.35">
      <c r="A6" s="2" t="s">
        <v>35</v>
      </c>
      <c r="B6" s="11">
        <v>0.19</v>
      </c>
    </row>
    <row r="7" spans="1:2" x14ac:dyDescent="0.35">
      <c r="A7" s="4" t="s">
        <v>64</v>
      </c>
      <c r="B7" s="42">
        <v>535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CB1C-3ABC-4F32-A61C-694DD64E6B66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Cosecha</vt:lpstr>
      <vt:lpstr>Técnicos</vt:lpstr>
      <vt:lpstr>Rendimiento</vt:lpstr>
      <vt:lpstr>Personal</vt:lpstr>
      <vt:lpstr>Indices Ec.</vt:lpstr>
      <vt:lpstr>Inflación nacional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argüello plata</dc:creator>
  <cp:lastModifiedBy>juan david argüello plata</cp:lastModifiedBy>
  <dcterms:created xsi:type="dcterms:W3CDTF">2019-10-08T20:21:30Z</dcterms:created>
  <dcterms:modified xsi:type="dcterms:W3CDTF">2019-11-12T21:08:31Z</dcterms:modified>
</cp:coreProperties>
</file>