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yumh/Scripts/pars/stat/"/>
    </mc:Choice>
  </mc:AlternateContent>
  <bookViews>
    <workbookView xWindow="17680" yWindow="460" windowWidth="18800" windowHeight="22200" tabRatio="500" firstSheet="4" activeTab="8"/>
  </bookViews>
  <sheets>
    <sheet name="Summary" sheetId="1" r:id="rId1"/>
    <sheet name="freq_10" sheetId="2" r:id="rId2"/>
    <sheet name="pic_freq_10" sheetId="5" r:id="rId3"/>
    <sheet name="freq_each-syn" sheetId="13" r:id="rId4"/>
    <sheet name="freq_each-cds" sheetId="6" r:id="rId5"/>
    <sheet name="freq_each-utr" sheetId="12" r:id="rId6"/>
    <sheet name="freq_each-nsy" sheetId="14" r:id="rId7"/>
    <sheet name="freq_10-cds_stem_length_10" sheetId="31" r:id="rId8"/>
    <sheet name="freq_10-cds_loop_length_10" sheetId="32" r:id="rId9"/>
    <sheet name="freq_10-cds_GO" sheetId="34" r:id="rId10"/>
    <sheet name="freq_10-cds_KEGG" sheetId="35" r:id="rId11"/>
    <sheet name="TCA" sheetId="3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96" i="32" l="1"/>
  <c r="AC95" i="32"/>
  <c r="AC94" i="32"/>
  <c r="AC93" i="32"/>
  <c r="AC92" i="32"/>
  <c r="AC91" i="32"/>
  <c r="AC90" i="32"/>
  <c r="AC89" i="32"/>
  <c r="AC88" i="32"/>
  <c r="AC87" i="32"/>
  <c r="AC86" i="32"/>
  <c r="AC85" i="32"/>
  <c r="AC84" i="32"/>
  <c r="AC83" i="32"/>
  <c r="AC82" i="32"/>
  <c r="AC31" i="32"/>
  <c r="AC30" i="32"/>
  <c r="AC29" i="32"/>
  <c r="AC28" i="32"/>
  <c r="AC27" i="32"/>
  <c r="AC26" i="32"/>
  <c r="AC25" i="32"/>
  <c r="AC24" i="32"/>
  <c r="AC23" i="32"/>
  <c r="AC22" i="32"/>
  <c r="AC20" i="32"/>
  <c r="AC21" i="32"/>
  <c r="AC19" i="32"/>
  <c r="AC18" i="32"/>
  <c r="AC17" i="32"/>
  <c r="P92" i="32"/>
  <c r="O92" i="32"/>
  <c r="N92" i="32"/>
  <c r="M92" i="32"/>
  <c r="L92" i="32"/>
  <c r="K92" i="32"/>
  <c r="J92" i="32"/>
  <c r="I92" i="32"/>
  <c r="H92" i="32"/>
  <c r="G92" i="32"/>
  <c r="F92" i="32"/>
  <c r="E92" i="32"/>
  <c r="D92" i="32"/>
  <c r="C92" i="32"/>
  <c r="B92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AC96" i="31"/>
  <c r="AC95" i="31"/>
  <c r="AC94" i="31"/>
  <c r="AC93" i="31"/>
  <c r="AC92" i="31"/>
  <c r="AC91" i="31"/>
  <c r="AC90" i="31"/>
  <c r="AC89" i="31"/>
  <c r="AC88" i="31"/>
  <c r="AC87" i="31"/>
  <c r="AC86" i="31"/>
  <c r="AC85" i="31"/>
  <c r="AC84" i="31"/>
  <c r="AC83" i="31"/>
  <c r="AC8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C92" i="31"/>
  <c r="B92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C27" i="31"/>
  <c r="D27" i="31"/>
  <c r="B27" i="31"/>
  <c r="AC31" i="31"/>
  <c r="AC30" i="31"/>
  <c r="AC29" i="31"/>
  <c r="AC28" i="31"/>
  <c r="AC27" i="31"/>
  <c r="AC26" i="31"/>
  <c r="AC25" i="31"/>
  <c r="AC24" i="31"/>
  <c r="AC23" i="31"/>
  <c r="AC22" i="31"/>
  <c r="AC21" i="31"/>
  <c r="AC20" i="31"/>
  <c r="AC19" i="31"/>
  <c r="AC18" i="31"/>
  <c r="AC17" i="31"/>
  <c r="AS12" i="5"/>
  <c r="AR12" i="5"/>
  <c r="AQ12" i="5"/>
  <c r="AP12" i="5"/>
  <c r="AK12" i="5"/>
  <c r="AJ12" i="5"/>
  <c r="AI12" i="5"/>
  <c r="AH12" i="5"/>
  <c r="AC12" i="5"/>
  <c r="AB12" i="5"/>
  <c r="AA12" i="5"/>
  <c r="Z12" i="5"/>
  <c r="U12" i="5"/>
  <c r="T12" i="5"/>
  <c r="S12" i="5"/>
  <c r="R12" i="5"/>
  <c r="D12" i="5"/>
  <c r="L12" i="5"/>
  <c r="J12" i="5"/>
  <c r="M12" i="5"/>
  <c r="K12" i="5"/>
  <c r="E12" i="5"/>
  <c r="C12" i="5"/>
  <c r="B12" i="5"/>
  <c r="G69" i="5"/>
  <c r="E69" i="5"/>
  <c r="F69" i="5"/>
  <c r="D69" i="5"/>
  <c r="C69" i="5"/>
  <c r="B69" i="5"/>
  <c r="AL2" i="5"/>
  <c r="AL3" i="5"/>
  <c r="AL4" i="5"/>
  <c r="AL5" i="5"/>
  <c r="AL6" i="5"/>
  <c r="AL7" i="5"/>
  <c r="AL8" i="5"/>
  <c r="AL9" i="5"/>
  <c r="AL10" i="5"/>
  <c r="AL11" i="5"/>
  <c r="AT2" i="5"/>
  <c r="AT3" i="5"/>
  <c r="AT4" i="5"/>
  <c r="AT5" i="5"/>
  <c r="AT6" i="5"/>
  <c r="AT7" i="5"/>
  <c r="AT8" i="5"/>
  <c r="AT9" i="5"/>
  <c r="AT10" i="5"/>
  <c r="AT11" i="5"/>
  <c r="AD2" i="5"/>
  <c r="AD3" i="5"/>
  <c r="AD4" i="5"/>
  <c r="AD5" i="5"/>
  <c r="AD6" i="5"/>
  <c r="AD7" i="5"/>
  <c r="AD8" i="5"/>
  <c r="AD9" i="5"/>
  <c r="AD10" i="5"/>
  <c r="AD11" i="5"/>
  <c r="V2" i="5"/>
  <c r="V3" i="5"/>
  <c r="V4" i="5"/>
  <c r="V5" i="5"/>
  <c r="V6" i="5"/>
  <c r="V7" i="5"/>
  <c r="V8" i="5"/>
  <c r="V9" i="5"/>
  <c r="V10" i="5"/>
  <c r="V11" i="5"/>
  <c r="N2" i="5"/>
  <c r="N3" i="5"/>
  <c r="N4" i="5"/>
  <c r="N5" i="5"/>
  <c r="N6" i="5"/>
  <c r="N7" i="5"/>
  <c r="N8" i="5"/>
  <c r="N9" i="5"/>
  <c r="N10" i="5"/>
  <c r="N11" i="5"/>
  <c r="F2" i="5"/>
  <c r="F3" i="5"/>
  <c r="F4" i="5"/>
  <c r="F5" i="5"/>
  <c r="F6" i="5"/>
  <c r="F7" i="5"/>
  <c r="F8" i="5"/>
  <c r="F9" i="5"/>
  <c r="F10" i="5"/>
  <c r="F11" i="5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53" i="2"/>
  <c r="C153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25" i="2"/>
  <c r="C125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97" i="2"/>
  <c r="C97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69" i="2"/>
  <c r="C69" i="2"/>
  <c r="B41" i="2"/>
  <c r="C41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13" i="2"/>
  <c r="C13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P68" i="32"/>
  <c r="P69" i="32"/>
  <c r="P70" i="32"/>
  <c r="P71" i="32"/>
  <c r="P72" i="32"/>
  <c r="P73" i="32"/>
  <c r="P74" i="32"/>
  <c r="P75" i="32"/>
  <c r="P76" i="32"/>
  <c r="P77" i="32"/>
  <c r="O68" i="32"/>
  <c r="O69" i="32"/>
  <c r="O70" i="32"/>
  <c r="O71" i="32"/>
  <c r="O72" i="32"/>
  <c r="O73" i="32"/>
  <c r="O74" i="32"/>
  <c r="O75" i="32"/>
  <c r="O76" i="32"/>
  <c r="O77" i="32"/>
  <c r="N68" i="32"/>
  <c r="N69" i="32"/>
  <c r="N70" i="32"/>
  <c r="N71" i="32"/>
  <c r="N72" i="32"/>
  <c r="N73" i="32"/>
  <c r="N74" i="32"/>
  <c r="N75" i="32"/>
  <c r="N76" i="32"/>
  <c r="N77" i="32"/>
  <c r="M68" i="32"/>
  <c r="M69" i="32"/>
  <c r="M70" i="32"/>
  <c r="M71" i="32"/>
  <c r="M72" i="32"/>
  <c r="M73" i="32"/>
  <c r="M74" i="32"/>
  <c r="M75" i="32"/>
  <c r="M76" i="32"/>
  <c r="M77" i="32"/>
  <c r="L68" i="32"/>
  <c r="L69" i="32"/>
  <c r="L70" i="32"/>
  <c r="L71" i="32"/>
  <c r="L72" i="32"/>
  <c r="L73" i="32"/>
  <c r="L74" i="32"/>
  <c r="L75" i="32"/>
  <c r="L76" i="32"/>
  <c r="L77" i="32"/>
  <c r="K68" i="32"/>
  <c r="K69" i="32"/>
  <c r="K70" i="32"/>
  <c r="K71" i="32"/>
  <c r="K72" i="32"/>
  <c r="K73" i="32"/>
  <c r="K74" i="32"/>
  <c r="K75" i="32"/>
  <c r="K76" i="32"/>
  <c r="K77" i="32"/>
  <c r="J68" i="32"/>
  <c r="J69" i="32"/>
  <c r="J70" i="32"/>
  <c r="J71" i="32"/>
  <c r="J72" i="32"/>
  <c r="J73" i="32"/>
  <c r="J74" i="32"/>
  <c r="J75" i="32"/>
  <c r="J76" i="32"/>
  <c r="J77" i="32"/>
  <c r="I68" i="32"/>
  <c r="I69" i="32"/>
  <c r="I70" i="32"/>
  <c r="I71" i="32"/>
  <c r="I72" i="32"/>
  <c r="I73" i="32"/>
  <c r="I74" i="32"/>
  <c r="I75" i="32"/>
  <c r="I76" i="32"/>
  <c r="I77" i="32"/>
  <c r="H68" i="32"/>
  <c r="H69" i="32"/>
  <c r="H70" i="32"/>
  <c r="H71" i="32"/>
  <c r="H72" i="32"/>
  <c r="H73" i="32"/>
  <c r="H74" i="32"/>
  <c r="H75" i="32"/>
  <c r="H76" i="32"/>
  <c r="H77" i="32"/>
  <c r="G68" i="32"/>
  <c r="G69" i="32"/>
  <c r="G70" i="32"/>
  <c r="G71" i="32"/>
  <c r="G72" i="32"/>
  <c r="G73" i="32"/>
  <c r="G74" i="32"/>
  <c r="G75" i="32"/>
  <c r="G76" i="32"/>
  <c r="G77" i="32"/>
  <c r="F68" i="32"/>
  <c r="F69" i="32"/>
  <c r="F70" i="32"/>
  <c r="F71" i="32"/>
  <c r="F72" i="32"/>
  <c r="F73" i="32"/>
  <c r="F74" i="32"/>
  <c r="F75" i="32"/>
  <c r="F76" i="32"/>
  <c r="F77" i="32"/>
  <c r="E68" i="32"/>
  <c r="E69" i="32"/>
  <c r="E70" i="32"/>
  <c r="E71" i="32"/>
  <c r="E72" i="32"/>
  <c r="E73" i="32"/>
  <c r="E74" i="32"/>
  <c r="E75" i="32"/>
  <c r="E76" i="32"/>
  <c r="E77" i="32"/>
  <c r="D68" i="32"/>
  <c r="D69" i="32"/>
  <c r="D70" i="32"/>
  <c r="D71" i="32"/>
  <c r="D72" i="32"/>
  <c r="D73" i="32"/>
  <c r="D74" i="32"/>
  <c r="D75" i="32"/>
  <c r="D76" i="32"/>
  <c r="D77" i="32"/>
  <c r="C68" i="32"/>
  <c r="C69" i="32"/>
  <c r="C70" i="32"/>
  <c r="C71" i="32"/>
  <c r="C72" i="32"/>
  <c r="C73" i="32"/>
  <c r="C74" i="32"/>
  <c r="C75" i="32"/>
  <c r="C76" i="32"/>
  <c r="C77" i="32"/>
  <c r="B68" i="32"/>
  <c r="B69" i="32"/>
  <c r="B70" i="32"/>
  <c r="B71" i="32"/>
  <c r="B72" i="32"/>
  <c r="B73" i="32"/>
  <c r="B74" i="32"/>
  <c r="B75" i="32"/>
  <c r="B76" i="32"/>
  <c r="B77" i="32"/>
  <c r="P3" i="32"/>
  <c r="P4" i="32"/>
  <c r="P5" i="32"/>
  <c r="P6" i="32"/>
  <c r="P7" i="32"/>
  <c r="P8" i="32"/>
  <c r="P9" i="32"/>
  <c r="P10" i="32"/>
  <c r="P11" i="32"/>
  <c r="P12" i="32"/>
  <c r="O3" i="32"/>
  <c r="O4" i="32"/>
  <c r="O5" i="32"/>
  <c r="O6" i="32"/>
  <c r="O7" i="32"/>
  <c r="O8" i="32"/>
  <c r="O9" i="32"/>
  <c r="O10" i="32"/>
  <c r="O11" i="32"/>
  <c r="O12" i="32"/>
  <c r="N3" i="32"/>
  <c r="N4" i="32"/>
  <c r="N5" i="32"/>
  <c r="N6" i="32"/>
  <c r="N7" i="32"/>
  <c r="N8" i="32"/>
  <c r="N9" i="32"/>
  <c r="N10" i="32"/>
  <c r="N11" i="32"/>
  <c r="N12" i="32"/>
  <c r="M3" i="32"/>
  <c r="M4" i="32"/>
  <c r="M5" i="32"/>
  <c r="M6" i="32"/>
  <c r="M7" i="32"/>
  <c r="M8" i="32"/>
  <c r="M9" i="32"/>
  <c r="M10" i="32"/>
  <c r="M11" i="32"/>
  <c r="M12" i="32"/>
  <c r="L3" i="32"/>
  <c r="L4" i="32"/>
  <c r="L5" i="32"/>
  <c r="L6" i="32"/>
  <c r="L7" i="32"/>
  <c r="L8" i="32"/>
  <c r="L9" i="32"/>
  <c r="L10" i="32"/>
  <c r="L11" i="32"/>
  <c r="L12" i="32"/>
  <c r="K3" i="32"/>
  <c r="K4" i="32"/>
  <c r="K5" i="32"/>
  <c r="K6" i="32"/>
  <c r="K7" i="32"/>
  <c r="K8" i="32"/>
  <c r="K9" i="32"/>
  <c r="K10" i="32"/>
  <c r="K11" i="32"/>
  <c r="K12" i="32"/>
  <c r="J3" i="32"/>
  <c r="J4" i="32"/>
  <c r="J5" i="32"/>
  <c r="J6" i="32"/>
  <c r="J7" i="32"/>
  <c r="J8" i="32"/>
  <c r="J9" i="32"/>
  <c r="J10" i="32"/>
  <c r="J11" i="32"/>
  <c r="J12" i="32"/>
  <c r="I3" i="32"/>
  <c r="I4" i="32"/>
  <c r="I5" i="32"/>
  <c r="I6" i="32"/>
  <c r="I7" i="32"/>
  <c r="I8" i="32"/>
  <c r="I9" i="32"/>
  <c r="I10" i="32"/>
  <c r="I11" i="32"/>
  <c r="I12" i="32"/>
  <c r="H3" i="32"/>
  <c r="H4" i="32"/>
  <c r="H5" i="32"/>
  <c r="H6" i="32"/>
  <c r="H7" i="32"/>
  <c r="H8" i="32"/>
  <c r="H9" i="32"/>
  <c r="H10" i="32"/>
  <c r="H11" i="32"/>
  <c r="H12" i="32"/>
  <c r="G3" i="32"/>
  <c r="G4" i="32"/>
  <c r="G5" i="32"/>
  <c r="G6" i="32"/>
  <c r="G7" i="32"/>
  <c r="G8" i="32"/>
  <c r="G9" i="32"/>
  <c r="G10" i="32"/>
  <c r="G11" i="32"/>
  <c r="G12" i="32"/>
  <c r="F3" i="32"/>
  <c r="F4" i="32"/>
  <c r="F5" i="32"/>
  <c r="F6" i="32"/>
  <c r="F7" i="32"/>
  <c r="F8" i="32"/>
  <c r="F9" i="32"/>
  <c r="F10" i="32"/>
  <c r="F11" i="32"/>
  <c r="F12" i="32"/>
  <c r="E3" i="32"/>
  <c r="E4" i="32"/>
  <c r="E5" i="32"/>
  <c r="E6" i="32"/>
  <c r="E7" i="32"/>
  <c r="E8" i="32"/>
  <c r="E9" i="32"/>
  <c r="E10" i="32"/>
  <c r="E11" i="32"/>
  <c r="E12" i="32"/>
  <c r="D3" i="32"/>
  <c r="D4" i="32"/>
  <c r="D5" i="32"/>
  <c r="D6" i="32"/>
  <c r="D7" i="32"/>
  <c r="D8" i="32"/>
  <c r="D9" i="32"/>
  <c r="D10" i="32"/>
  <c r="D11" i="32"/>
  <c r="D12" i="32"/>
  <c r="C3" i="32"/>
  <c r="C4" i="32"/>
  <c r="C5" i="32"/>
  <c r="C6" i="32"/>
  <c r="C7" i="32"/>
  <c r="C8" i="32"/>
  <c r="C9" i="32"/>
  <c r="C10" i="32"/>
  <c r="C11" i="32"/>
  <c r="C12" i="32"/>
  <c r="B3" i="32"/>
  <c r="B4" i="32"/>
  <c r="B5" i="32"/>
  <c r="B6" i="32"/>
  <c r="B7" i="32"/>
  <c r="B8" i="32"/>
  <c r="B9" i="32"/>
  <c r="B10" i="32"/>
  <c r="B11" i="32"/>
  <c r="B12" i="32"/>
  <c r="P68" i="31"/>
  <c r="P69" i="31"/>
  <c r="P70" i="31"/>
  <c r="P71" i="31"/>
  <c r="P72" i="31"/>
  <c r="P73" i="31"/>
  <c r="P74" i="31"/>
  <c r="P75" i="31"/>
  <c r="P76" i="31"/>
  <c r="P77" i="31"/>
  <c r="O68" i="31"/>
  <c r="O69" i="31"/>
  <c r="O70" i="31"/>
  <c r="O71" i="31"/>
  <c r="O72" i="31"/>
  <c r="O73" i="31"/>
  <c r="O74" i="31"/>
  <c r="O75" i="31"/>
  <c r="O76" i="31"/>
  <c r="O77" i="31"/>
  <c r="N68" i="31"/>
  <c r="N69" i="31"/>
  <c r="N70" i="31"/>
  <c r="N71" i="31"/>
  <c r="N72" i="31"/>
  <c r="N73" i="31"/>
  <c r="N74" i="31"/>
  <c r="N75" i="31"/>
  <c r="N76" i="31"/>
  <c r="N77" i="31"/>
  <c r="M68" i="31"/>
  <c r="M69" i="31"/>
  <c r="M70" i="31"/>
  <c r="M71" i="31"/>
  <c r="M72" i="31"/>
  <c r="M73" i="31"/>
  <c r="M74" i="31"/>
  <c r="M75" i="31"/>
  <c r="M76" i="31"/>
  <c r="M77" i="31"/>
  <c r="L68" i="31"/>
  <c r="L69" i="31"/>
  <c r="L70" i="31"/>
  <c r="L71" i="31"/>
  <c r="L72" i="31"/>
  <c r="L73" i="31"/>
  <c r="L74" i="31"/>
  <c r="L75" i="31"/>
  <c r="L76" i="31"/>
  <c r="L77" i="31"/>
  <c r="K68" i="31"/>
  <c r="K69" i="31"/>
  <c r="K70" i="31"/>
  <c r="K71" i="31"/>
  <c r="K72" i="31"/>
  <c r="K73" i="31"/>
  <c r="K74" i="31"/>
  <c r="K75" i="31"/>
  <c r="K76" i="31"/>
  <c r="K77" i="31"/>
  <c r="J68" i="31"/>
  <c r="J69" i="31"/>
  <c r="J70" i="31"/>
  <c r="J71" i="31"/>
  <c r="J72" i="31"/>
  <c r="J73" i="31"/>
  <c r="J74" i="31"/>
  <c r="J75" i="31"/>
  <c r="J76" i="31"/>
  <c r="J77" i="31"/>
  <c r="I68" i="31"/>
  <c r="I69" i="31"/>
  <c r="I70" i="31"/>
  <c r="I71" i="31"/>
  <c r="I72" i="31"/>
  <c r="I73" i="31"/>
  <c r="I74" i="31"/>
  <c r="I75" i="31"/>
  <c r="I76" i="31"/>
  <c r="I77" i="31"/>
  <c r="H68" i="31"/>
  <c r="H69" i="31"/>
  <c r="H70" i="31"/>
  <c r="H71" i="31"/>
  <c r="H72" i="31"/>
  <c r="H73" i="31"/>
  <c r="H74" i="31"/>
  <c r="H75" i="31"/>
  <c r="H76" i="31"/>
  <c r="H77" i="31"/>
  <c r="G68" i="31"/>
  <c r="G69" i="31"/>
  <c r="G70" i="31"/>
  <c r="G71" i="31"/>
  <c r="G72" i="31"/>
  <c r="G73" i="31"/>
  <c r="G74" i="31"/>
  <c r="G75" i="31"/>
  <c r="G76" i="31"/>
  <c r="G77" i="31"/>
  <c r="F68" i="31"/>
  <c r="F69" i="31"/>
  <c r="F70" i="31"/>
  <c r="F71" i="31"/>
  <c r="F72" i="31"/>
  <c r="F73" i="31"/>
  <c r="F74" i="31"/>
  <c r="F75" i="31"/>
  <c r="F76" i="31"/>
  <c r="F77" i="31"/>
  <c r="E68" i="31"/>
  <c r="E69" i="31"/>
  <c r="E70" i="31"/>
  <c r="E71" i="31"/>
  <c r="E72" i="31"/>
  <c r="E73" i="31"/>
  <c r="E74" i="31"/>
  <c r="E75" i="31"/>
  <c r="E76" i="31"/>
  <c r="E77" i="31"/>
  <c r="D68" i="31"/>
  <c r="D69" i="31"/>
  <c r="D70" i="31"/>
  <c r="D71" i="31"/>
  <c r="D72" i="31"/>
  <c r="D73" i="31"/>
  <c r="D74" i="31"/>
  <c r="D75" i="31"/>
  <c r="D76" i="31"/>
  <c r="D77" i="31"/>
  <c r="C68" i="31"/>
  <c r="C69" i="31"/>
  <c r="C70" i="31"/>
  <c r="C71" i="31"/>
  <c r="C72" i="31"/>
  <c r="C73" i="31"/>
  <c r="C74" i="31"/>
  <c r="C75" i="31"/>
  <c r="C76" i="31"/>
  <c r="C77" i="31"/>
  <c r="B68" i="31"/>
  <c r="B69" i="31"/>
  <c r="B70" i="31"/>
  <c r="B71" i="31"/>
  <c r="B72" i="31"/>
  <c r="B73" i="31"/>
  <c r="B74" i="31"/>
  <c r="B75" i="31"/>
  <c r="B76" i="31"/>
  <c r="B77" i="31"/>
  <c r="P3" i="31"/>
  <c r="P4" i="31"/>
  <c r="P5" i="31"/>
  <c r="P6" i="31"/>
  <c r="P7" i="31"/>
  <c r="P8" i="31"/>
  <c r="P9" i="31"/>
  <c r="P10" i="31"/>
  <c r="P11" i="31"/>
  <c r="P12" i="31"/>
  <c r="O3" i="31"/>
  <c r="O4" i="31"/>
  <c r="O5" i="31"/>
  <c r="O6" i="31"/>
  <c r="O7" i="31"/>
  <c r="O8" i="31"/>
  <c r="O9" i="31"/>
  <c r="O10" i="31"/>
  <c r="O11" i="31"/>
  <c r="O12" i="31"/>
  <c r="N3" i="31"/>
  <c r="N4" i="31"/>
  <c r="N5" i="31"/>
  <c r="N6" i="31"/>
  <c r="N7" i="31"/>
  <c r="N8" i="31"/>
  <c r="N9" i="31"/>
  <c r="N10" i="31"/>
  <c r="N11" i="31"/>
  <c r="N12" i="31"/>
  <c r="M3" i="31"/>
  <c r="M4" i="31"/>
  <c r="M5" i="31"/>
  <c r="M6" i="31"/>
  <c r="M7" i="31"/>
  <c r="M8" i="31"/>
  <c r="M9" i="31"/>
  <c r="M10" i="31"/>
  <c r="M11" i="31"/>
  <c r="M12" i="31"/>
  <c r="L3" i="31"/>
  <c r="L4" i="31"/>
  <c r="L5" i="31"/>
  <c r="L6" i="31"/>
  <c r="L7" i="31"/>
  <c r="L8" i="31"/>
  <c r="L9" i="31"/>
  <c r="L10" i="31"/>
  <c r="L11" i="31"/>
  <c r="L12" i="31"/>
  <c r="K3" i="31"/>
  <c r="K4" i="31"/>
  <c r="K5" i="31"/>
  <c r="K6" i="31"/>
  <c r="K7" i="31"/>
  <c r="K8" i="31"/>
  <c r="K9" i="31"/>
  <c r="K10" i="31"/>
  <c r="K11" i="31"/>
  <c r="K12" i="31"/>
  <c r="J3" i="31"/>
  <c r="J4" i="31"/>
  <c r="J5" i="31"/>
  <c r="J6" i="31"/>
  <c r="J7" i="31"/>
  <c r="J8" i="31"/>
  <c r="J9" i="31"/>
  <c r="J10" i="31"/>
  <c r="J11" i="31"/>
  <c r="J12" i="31"/>
  <c r="I3" i="31"/>
  <c r="I4" i="31"/>
  <c r="I5" i="31"/>
  <c r="I6" i="31"/>
  <c r="I7" i="31"/>
  <c r="I8" i="31"/>
  <c r="I9" i="31"/>
  <c r="I10" i="31"/>
  <c r="I11" i="31"/>
  <c r="I12" i="31"/>
  <c r="H3" i="31"/>
  <c r="H4" i="31"/>
  <c r="H5" i="31"/>
  <c r="H6" i="31"/>
  <c r="H7" i="31"/>
  <c r="H8" i="31"/>
  <c r="H9" i="31"/>
  <c r="H10" i="31"/>
  <c r="H11" i="31"/>
  <c r="H12" i="31"/>
  <c r="G3" i="31"/>
  <c r="G4" i="31"/>
  <c r="G5" i="31"/>
  <c r="G6" i="31"/>
  <c r="G7" i="31"/>
  <c r="G8" i="31"/>
  <c r="G9" i="31"/>
  <c r="G10" i="31"/>
  <c r="G11" i="31"/>
  <c r="G12" i="31"/>
  <c r="F3" i="31"/>
  <c r="F4" i="31"/>
  <c r="F5" i="31"/>
  <c r="F6" i="31"/>
  <c r="F7" i="31"/>
  <c r="F8" i="31"/>
  <c r="F9" i="31"/>
  <c r="F10" i="31"/>
  <c r="F11" i="31"/>
  <c r="F12" i="31"/>
  <c r="E3" i="31"/>
  <c r="E4" i="31"/>
  <c r="E5" i="31"/>
  <c r="E6" i="31"/>
  <c r="E7" i="31"/>
  <c r="E8" i="31"/>
  <c r="E9" i="31"/>
  <c r="E10" i="31"/>
  <c r="E11" i="31"/>
  <c r="E12" i="31"/>
  <c r="D3" i="31"/>
  <c r="D4" i="31"/>
  <c r="D5" i="31"/>
  <c r="D6" i="31"/>
  <c r="D7" i="31"/>
  <c r="D8" i="31"/>
  <c r="D9" i="31"/>
  <c r="D10" i="31"/>
  <c r="D11" i="31"/>
  <c r="D12" i="31"/>
  <c r="C3" i="31"/>
  <c r="C4" i="31"/>
  <c r="C5" i="31"/>
  <c r="C6" i="31"/>
  <c r="C7" i="31"/>
  <c r="C8" i="31"/>
  <c r="C9" i="31"/>
  <c r="C10" i="31"/>
  <c r="C11" i="31"/>
  <c r="C12" i="31"/>
  <c r="B3" i="31"/>
  <c r="B4" i="31"/>
  <c r="B5" i="31"/>
  <c r="B6" i="31"/>
  <c r="B7" i="31"/>
  <c r="B8" i="31"/>
  <c r="B9" i="31"/>
  <c r="B10" i="31"/>
  <c r="B11" i="31"/>
  <c r="B12" i="31"/>
  <c r="Q115" i="2"/>
  <c r="R115" i="2"/>
  <c r="Q117" i="2"/>
  <c r="R117" i="2"/>
  <c r="Q119" i="2"/>
  <c r="R119" i="2"/>
  <c r="Q121" i="2"/>
  <c r="R121" i="2"/>
  <c r="Q123" i="2"/>
  <c r="R123" i="2"/>
  <c r="Q125" i="2"/>
  <c r="R125" i="2"/>
  <c r="Q127" i="2"/>
  <c r="R127" i="2"/>
  <c r="Q129" i="2"/>
  <c r="R129" i="2"/>
  <c r="Q131" i="2"/>
  <c r="R131" i="2"/>
  <c r="Q133" i="2"/>
  <c r="R133" i="2"/>
  <c r="N134" i="2"/>
  <c r="M134" i="2"/>
  <c r="P134" i="2"/>
  <c r="N133" i="2"/>
  <c r="M133" i="2"/>
  <c r="P133" i="2"/>
  <c r="N132" i="2"/>
  <c r="M132" i="2"/>
  <c r="P132" i="2"/>
  <c r="N131" i="2"/>
  <c r="M131" i="2"/>
  <c r="P131" i="2"/>
  <c r="N130" i="2"/>
  <c r="M130" i="2"/>
  <c r="P130" i="2"/>
  <c r="N129" i="2"/>
  <c r="M129" i="2"/>
  <c r="P129" i="2"/>
  <c r="N128" i="2"/>
  <c r="M128" i="2"/>
  <c r="P128" i="2"/>
  <c r="N127" i="2"/>
  <c r="M127" i="2"/>
  <c r="P127" i="2"/>
  <c r="N126" i="2"/>
  <c r="M126" i="2"/>
  <c r="P126" i="2"/>
  <c r="N125" i="2"/>
  <c r="M125" i="2"/>
  <c r="P125" i="2"/>
  <c r="N124" i="2"/>
  <c r="M124" i="2"/>
  <c r="P124" i="2"/>
  <c r="N123" i="2"/>
  <c r="M123" i="2"/>
  <c r="P123" i="2"/>
  <c r="N122" i="2"/>
  <c r="M122" i="2"/>
  <c r="P122" i="2"/>
  <c r="N121" i="2"/>
  <c r="M121" i="2"/>
  <c r="P121" i="2"/>
  <c r="N120" i="2"/>
  <c r="M120" i="2"/>
  <c r="P120" i="2"/>
  <c r="N119" i="2"/>
  <c r="M119" i="2"/>
  <c r="P119" i="2"/>
  <c r="N118" i="2"/>
  <c r="M118" i="2"/>
  <c r="P118" i="2"/>
  <c r="N117" i="2"/>
  <c r="M117" i="2"/>
  <c r="P117" i="2"/>
  <c r="N116" i="2"/>
  <c r="M116" i="2"/>
  <c r="P116" i="2"/>
  <c r="N115" i="2"/>
  <c r="M115" i="2"/>
  <c r="P115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Q143" i="2"/>
  <c r="R143" i="2"/>
  <c r="Q145" i="2"/>
  <c r="R145" i="2"/>
  <c r="Q147" i="2"/>
  <c r="R147" i="2"/>
  <c r="Q149" i="2"/>
  <c r="R149" i="2"/>
  <c r="Q151" i="2"/>
  <c r="R151" i="2"/>
  <c r="Q153" i="2"/>
  <c r="R153" i="2"/>
  <c r="Q155" i="2"/>
  <c r="R155" i="2"/>
  <c r="Q157" i="2"/>
  <c r="R157" i="2"/>
  <c r="Q159" i="2"/>
  <c r="R159" i="2"/>
  <c r="Q161" i="2"/>
  <c r="R161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3" i="2"/>
  <c r="C5" i="1"/>
  <c r="C6" i="1"/>
  <c r="C7" i="1"/>
  <c r="C8" i="1"/>
  <c r="C9" i="1"/>
  <c r="C10" i="1"/>
  <c r="B2" i="1"/>
  <c r="B3" i="1"/>
  <c r="B4" i="1"/>
  <c r="B5" i="1"/>
  <c r="B6" i="1"/>
  <c r="B7" i="1"/>
  <c r="B8" i="1"/>
  <c r="B9" i="1"/>
  <c r="B10" i="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F143" i="2"/>
  <c r="F144" i="2"/>
  <c r="F145" i="2"/>
  <c r="F146" i="2"/>
  <c r="F147" i="2"/>
  <c r="F148" i="2"/>
  <c r="F149" i="2"/>
  <c r="F150" i="2"/>
  <c r="F151" i="2"/>
  <c r="F152" i="2"/>
  <c r="F153" i="2"/>
  <c r="F157" i="2"/>
  <c r="AP2" i="5"/>
  <c r="G143" i="2"/>
  <c r="G144" i="2"/>
  <c r="G145" i="2"/>
  <c r="G146" i="2"/>
  <c r="G147" i="2"/>
  <c r="G148" i="2"/>
  <c r="G149" i="2"/>
  <c r="G150" i="2"/>
  <c r="G151" i="2"/>
  <c r="G152" i="2"/>
  <c r="G153" i="2"/>
  <c r="G157" i="2"/>
  <c r="AQ2" i="5"/>
  <c r="H143" i="2"/>
  <c r="H144" i="2"/>
  <c r="H145" i="2"/>
  <c r="H146" i="2"/>
  <c r="H147" i="2"/>
  <c r="H148" i="2"/>
  <c r="H149" i="2"/>
  <c r="H150" i="2"/>
  <c r="H151" i="2"/>
  <c r="H152" i="2"/>
  <c r="H153" i="2"/>
  <c r="H157" i="2"/>
  <c r="AR2" i="5"/>
  <c r="I143" i="2"/>
  <c r="I144" i="2"/>
  <c r="I145" i="2"/>
  <c r="I146" i="2"/>
  <c r="I147" i="2"/>
  <c r="I148" i="2"/>
  <c r="I149" i="2"/>
  <c r="I150" i="2"/>
  <c r="I151" i="2"/>
  <c r="I152" i="2"/>
  <c r="I153" i="2"/>
  <c r="I157" i="2"/>
  <c r="AS2" i="5"/>
  <c r="F158" i="2"/>
  <c r="AP3" i="5"/>
  <c r="G158" i="2"/>
  <c r="AQ3" i="5"/>
  <c r="H158" i="2"/>
  <c r="AR3" i="5"/>
  <c r="I158" i="2"/>
  <c r="AS3" i="5"/>
  <c r="F159" i="2"/>
  <c r="AP4" i="5"/>
  <c r="G159" i="2"/>
  <c r="AQ4" i="5"/>
  <c r="H159" i="2"/>
  <c r="AR4" i="5"/>
  <c r="I159" i="2"/>
  <c r="AS4" i="5"/>
  <c r="F160" i="2"/>
  <c r="AP5" i="5"/>
  <c r="G160" i="2"/>
  <c r="AQ5" i="5"/>
  <c r="H160" i="2"/>
  <c r="AR5" i="5"/>
  <c r="I160" i="2"/>
  <c r="AS5" i="5"/>
  <c r="F161" i="2"/>
  <c r="AP6" i="5"/>
  <c r="G161" i="2"/>
  <c r="AQ6" i="5"/>
  <c r="H161" i="2"/>
  <c r="AR6" i="5"/>
  <c r="I161" i="2"/>
  <c r="AS6" i="5"/>
  <c r="F162" i="2"/>
  <c r="AP7" i="5"/>
  <c r="G162" i="2"/>
  <c r="AQ7" i="5"/>
  <c r="H162" i="2"/>
  <c r="AR7" i="5"/>
  <c r="I162" i="2"/>
  <c r="AS7" i="5"/>
  <c r="F163" i="2"/>
  <c r="AP8" i="5"/>
  <c r="G163" i="2"/>
  <c r="AQ8" i="5"/>
  <c r="H163" i="2"/>
  <c r="AR8" i="5"/>
  <c r="I163" i="2"/>
  <c r="AS8" i="5"/>
  <c r="F164" i="2"/>
  <c r="AP9" i="5"/>
  <c r="G164" i="2"/>
  <c r="AQ9" i="5"/>
  <c r="H164" i="2"/>
  <c r="AR9" i="5"/>
  <c r="I164" i="2"/>
  <c r="AS9" i="5"/>
  <c r="F165" i="2"/>
  <c r="AP10" i="5"/>
  <c r="G165" i="2"/>
  <c r="AQ10" i="5"/>
  <c r="H165" i="2"/>
  <c r="AR10" i="5"/>
  <c r="I165" i="2"/>
  <c r="AS10" i="5"/>
  <c r="F166" i="2"/>
  <c r="AP11" i="5"/>
  <c r="G166" i="2"/>
  <c r="AQ11" i="5"/>
  <c r="H166" i="2"/>
  <c r="AR11" i="5"/>
  <c r="I166" i="2"/>
  <c r="AS11" i="5"/>
  <c r="B115" i="2"/>
  <c r="E46" i="5"/>
  <c r="B116" i="2"/>
  <c r="E47" i="5"/>
  <c r="B117" i="2"/>
  <c r="E48" i="5"/>
  <c r="B118" i="2"/>
  <c r="E49" i="5"/>
  <c r="B119" i="2"/>
  <c r="E50" i="5"/>
  <c r="B120" i="2"/>
  <c r="E51" i="5"/>
  <c r="B121" i="2"/>
  <c r="E52" i="5"/>
  <c r="B122" i="2"/>
  <c r="E53" i="5"/>
  <c r="B123" i="2"/>
  <c r="E54" i="5"/>
  <c r="B124" i="2"/>
  <c r="E55" i="5"/>
  <c r="E56" i="5"/>
  <c r="E59" i="5"/>
  <c r="B143" i="2"/>
  <c r="F46" i="5"/>
  <c r="B144" i="2"/>
  <c r="F47" i="5"/>
  <c r="B145" i="2"/>
  <c r="F48" i="5"/>
  <c r="B146" i="2"/>
  <c r="F49" i="5"/>
  <c r="B147" i="2"/>
  <c r="F50" i="5"/>
  <c r="B148" i="2"/>
  <c r="F51" i="5"/>
  <c r="B149" i="2"/>
  <c r="F52" i="5"/>
  <c r="B150" i="2"/>
  <c r="F53" i="5"/>
  <c r="B151" i="2"/>
  <c r="F54" i="5"/>
  <c r="B152" i="2"/>
  <c r="F55" i="5"/>
  <c r="F56" i="5"/>
  <c r="F59" i="5"/>
  <c r="F60" i="5"/>
  <c r="F61" i="5"/>
  <c r="F62" i="5"/>
  <c r="F63" i="5"/>
  <c r="F64" i="5"/>
  <c r="F65" i="5"/>
  <c r="F66" i="5"/>
  <c r="F67" i="5"/>
  <c r="F68" i="5"/>
  <c r="E143" i="2"/>
  <c r="E144" i="2"/>
  <c r="E145" i="2"/>
  <c r="E146" i="2"/>
  <c r="E147" i="2"/>
  <c r="E148" i="2"/>
  <c r="E149" i="2"/>
  <c r="E150" i="2"/>
  <c r="E151" i="2"/>
  <c r="E152" i="2"/>
  <c r="E153" i="2"/>
  <c r="E157" i="2"/>
  <c r="E158" i="2"/>
  <c r="E159" i="2"/>
  <c r="E160" i="2"/>
  <c r="E161" i="2"/>
  <c r="E162" i="2"/>
  <c r="E163" i="2"/>
  <c r="E164" i="2"/>
  <c r="E165" i="2"/>
  <c r="E166" i="2"/>
  <c r="D144" i="2"/>
  <c r="D143" i="2"/>
  <c r="D145" i="2"/>
  <c r="D146" i="2"/>
  <c r="D147" i="2"/>
  <c r="D148" i="2"/>
  <c r="D149" i="2"/>
  <c r="D150" i="2"/>
  <c r="D151" i="2"/>
  <c r="D152" i="2"/>
  <c r="D153" i="2"/>
  <c r="D158" i="2"/>
  <c r="D159" i="2"/>
  <c r="D160" i="2"/>
  <c r="D161" i="2"/>
  <c r="D162" i="2"/>
  <c r="D163" i="2"/>
  <c r="D164" i="2"/>
  <c r="D165" i="2"/>
  <c r="D166" i="2"/>
  <c r="D157" i="2"/>
  <c r="C143" i="2"/>
  <c r="C144" i="2"/>
  <c r="C145" i="2"/>
  <c r="C146" i="2"/>
  <c r="C147" i="2"/>
  <c r="C148" i="2"/>
  <c r="C149" i="2"/>
  <c r="C150" i="2"/>
  <c r="C151" i="2"/>
  <c r="C152" i="2"/>
  <c r="F115" i="2"/>
  <c r="F116" i="2"/>
  <c r="F117" i="2"/>
  <c r="F118" i="2"/>
  <c r="F119" i="2"/>
  <c r="F120" i="2"/>
  <c r="F121" i="2"/>
  <c r="F122" i="2"/>
  <c r="F123" i="2"/>
  <c r="F124" i="2"/>
  <c r="F125" i="2"/>
  <c r="F129" i="2"/>
  <c r="AH2" i="5"/>
  <c r="G115" i="2"/>
  <c r="G116" i="2"/>
  <c r="G117" i="2"/>
  <c r="G118" i="2"/>
  <c r="G119" i="2"/>
  <c r="G120" i="2"/>
  <c r="G121" i="2"/>
  <c r="G122" i="2"/>
  <c r="G123" i="2"/>
  <c r="G124" i="2"/>
  <c r="G125" i="2"/>
  <c r="G129" i="2"/>
  <c r="AI2" i="5"/>
  <c r="H115" i="2"/>
  <c r="H116" i="2"/>
  <c r="H117" i="2"/>
  <c r="H118" i="2"/>
  <c r="H119" i="2"/>
  <c r="H120" i="2"/>
  <c r="H121" i="2"/>
  <c r="H122" i="2"/>
  <c r="H123" i="2"/>
  <c r="H124" i="2"/>
  <c r="H125" i="2"/>
  <c r="H129" i="2"/>
  <c r="AJ2" i="5"/>
  <c r="I115" i="2"/>
  <c r="I116" i="2"/>
  <c r="I117" i="2"/>
  <c r="I118" i="2"/>
  <c r="I119" i="2"/>
  <c r="I120" i="2"/>
  <c r="I121" i="2"/>
  <c r="I122" i="2"/>
  <c r="I123" i="2"/>
  <c r="I124" i="2"/>
  <c r="I125" i="2"/>
  <c r="I129" i="2"/>
  <c r="AK2" i="5"/>
  <c r="F130" i="2"/>
  <c r="AH3" i="5"/>
  <c r="G130" i="2"/>
  <c r="AI3" i="5"/>
  <c r="H130" i="2"/>
  <c r="AJ3" i="5"/>
  <c r="I130" i="2"/>
  <c r="AK3" i="5"/>
  <c r="F131" i="2"/>
  <c r="AH4" i="5"/>
  <c r="G131" i="2"/>
  <c r="AI4" i="5"/>
  <c r="H131" i="2"/>
  <c r="AJ4" i="5"/>
  <c r="I131" i="2"/>
  <c r="AK4" i="5"/>
  <c r="F132" i="2"/>
  <c r="AH5" i="5"/>
  <c r="G132" i="2"/>
  <c r="AI5" i="5"/>
  <c r="H132" i="2"/>
  <c r="AJ5" i="5"/>
  <c r="I132" i="2"/>
  <c r="AK5" i="5"/>
  <c r="F133" i="2"/>
  <c r="AH6" i="5"/>
  <c r="G133" i="2"/>
  <c r="AI6" i="5"/>
  <c r="H133" i="2"/>
  <c r="AJ6" i="5"/>
  <c r="I133" i="2"/>
  <c r="AK6" i="5"/>
  <c r="F134" i="2"/>
  <c r="AH7" i="5"/>
  <c r="G134" i="2"/>
  <c r="AI7" i="5"/>
  <c r="H134" i="2"/>
  <c r="AJ7" i="5"/>
  <c r="I134" i="2"/>
  <c r="AK7" i="5"/>
  <c r="F135" i="2"/>
  <c r="AH8" i="5"/>
  <c r="G135" i="2"/>
  <c r="AI8" i="5"/>
  <c r="H135" i="2"/>
  <c r="AJ8" i="5"/>
  <c r="I135" i="2"/>
  <c r="AK8" i="5"/>
  <c r="F136" i="2"/>
  <c r="AH9" i="5"/>
  <c r="G136" i="2"/>
  <c r="AI9" i="5"/>
  <c r="H136" i="2"/>
  <c r="AJ9" i="5"/>
  <c r="I136" i="2"/>
  <c r="AK9" i="5"/>
  <c r="F137" i="2"/>
  <c r="AH10" i="5"/>
  <c r="G137" i="2"/>
  <c r="AI10" i="5"/>
  <c r="H137" i="2"/>
  <c r="AJ10" i="5"/>
  <c r="I137" i="2"/>
  <c r="AK10" i="5"/>
  <c r="F138" i="2"/>
  <c r="AH11" i="5"/>
  <c r="G138" i="2"/>
  <c r="AI11" i="5"/>
  <c r="H138" i="2"/>
  <c r="AJ11" i="5"/>
  <c r="I138" i="2"/>
  <c r="AK11" i="5"/>
  <c r="E116" i="2"/>
  <c r="E115" i="2"/>
  <c r="E117" i="2"/>
  <c r="E118" i="2"/>
  <c r="E119" i="2"/>
  <c r="E120" i="2"/>
  <c r="E121" i="2"/>
  <c r="E122" i="2"/>
  <c r="E123" i="2"/>
  <c r="E124" i="2"/>
  <c r="E125" i="2"/>
  <c r="E130" i="2"/>
  <c r="E129" i="2"/>
  <c r="E131" i="2"/>
  <c r="E132" i="2"/>
  <c r="E133" i="2"/>
  <c r="E134" i="2"/>
  <c r="E135" i="2"/>
  <c r="E136" i="2"/>
  <c r="E137" i="2"/>
  <c r="E138" i="2"/>
  <c r="D116" i="2"/>
  <c r="D115" i="2"/>
  <c r="D117" i="2"/>
  <c r="D118" i="2"/>
  <c r="D119" i="2"/>
  <c r="D120" i="2"/>
  <c r="D121" i="2"/>
  <c r="D122" i="2"/>
  <c r="D123" i="2"/>
  <c r="D124" i="2"/>
  <c r="D125" i="2"/>
  <c r="D130" i="2"/>
  <c r="D131" i="2"/>
  <c r="D132" i="2"/>
  <c r="D133" i="2"/>
  <c r="D134" i="2"/>
  <c r="D135" i="2"/>
  <c r="D136" i="2"/>
  <c r="D137" i="2"/>
  <c r="D138" i="2"/>
  <c r="D129" i="2"/>
  <c r="E60" i="5"/>
  <c r="E61" i="5"/>
  <c r="E62" i="5"/>
  <c r="E63" i="5"/>
  <c r="E64" i="5"/>
  <c r="E65" i="5"/>
  <c r="E66" i="5"/>
  <c r="E67" i="5"/>
  <c r="E68" i="5"/>
  <c r="C115" i="2"/>
  <c r="C116" i="2"/>
  <c r="C117" i="2"/>
  <c r="C118" i="2"/>
  <c r="C119" i="2"/>
  <c r="C120" i="2"/>
  <c r="C121" i="2"/>
  <c r="C122" i="2"/>
  <c r="C123" i="2"/>
  <c r="C124" i="2"/>
  <c r="B32" i="2"/>
  <c r="C47" i="5"/>
  <c r="B31" i="2"/>
  <c r="C46" i="5"/>
  <c r="B33" i="2"/>
  <c r="C48" i="5"/>
  <c r="B34" i="2"/>
  <c r="C49" i="5"/>
  <c r="B35" i="2"/>
  <c r="C50" i="5"/>
  <c r="B36" i="2"/>
  <c r="C51" i="5"/>
  <c r="B37" i="2"/>
  <c r="C52" i="5"/>
  <c r="B38" i="2"/>
  <c r="C53" i="5"/>
  <c r="B39" i="2"/>
  <c r="C54" i="5"/>
  <c r="B40" i="2"/>
  <c r="C55" i="5"/>
  <c r="C56" i="5"/>
  <c r="C60" i="5"/>
  <c r="B60" i="2"/>
  <c r="D47" i="5"/>
  <c r="B59" i="2"/>
  <c r="D46" i="5"/>
  <c r="B61" i="2"/>
  <c r="D48" i="5"/>
  <c r="B62" i="2"/>
  <c r="D49" i="5"/>
  <c r="B63" i="2"/>
  <c r="D50" i="5"/>
  <c r="B64" i="2"/>
  <c r="D51" i="5"/>
  <c r="B65" i="2"/>
  <c r="D52" i="5"/>
  <c r="B66" i="2"/>
  <c r="D53" i="5"/>
  <c r="B67" i="2"/>
  <c r="D54" i="5"/>
  <c r="B68" i="2"/>
  <c r="D55" i="5"/>
  <c r="D56" i="5"/>
  <c r="D60" i="5"/>
  <c r="B88" i="2"/>
  <c r="G47" i="5"/>
  <c r="B87" i="2"/>
  <c r="G46" i="5"/>
  <c r="B89" i="2"/>
  <c r="G48" i="5"/>
  <c r="B90" i="2"/>
  <c r="G49" i="5"/>
  <c r="B91" i="2"/>
  <c r="G50" i="5"/>
  <c r="B92" i="2"/>
  <c r="G51" i="5"/>
  <c r="B93" i="2"/>
  <c r="G52" i="5"/>
  <c r="B94" i="2"/>
  <c r="G53" i="5"/>
  <c r="B95" i="2"/>
  <c r="G54" i="5"/>
  <c r="B96" i="2"/>
  <c r="G55" i="5"/>
  <c r="G56" i="5"/>
  <c r="G60" i="5"/>
  <c r="C61" i="5"/>
  <c r="D61" i="5"/>
  <c r="G61" i="5"/>
  <c r="C62" i="5"/>
  <c r="D62" i="5"/>
  <c r="G62" i="5"/>
  <c r="C63" i="5"/>
  <c r="D63" i="5"/>
  <c r="G63" i="5"/>
  <c r="C64" i="5"/>
  <c r="D64" i="5"/>
  <c r="G64" i="5"/>
  <c r="C65" i="5"/>
  <c r="D65" i="5"/>
  <c r="G65" i="5"/>
  <c r="C66" i="5"/>
  <c r="D66" i="5"/>
  <c r="G66" i="5"/>
  <c r="C67" i="5"/>
  <c r="D67" i="5"/>
  <c r="G67" i="5"/>
  <c r="C68" i="5"/>
  <c r="D68" i="5"/>
  <c r="G68" i="5"/>
  <c r="C59" i="5"/>
  <c r="D59" i="5"/>
  <c r="G59" i="5"/>
  <c r="B4" i="2"/>
  <c r="B47" i="5"/>
  <c r="B3" i="2"/>
  <c r="B46" i="5"/>
  <c r="B5" i="2"/>
  <c r="B48" i="5"/>
  <c r="B6" i="2"/>
  <c r="B49" i="5"/>
  <c r="B7" i="2"/>
  <c r="B50" i="5"/>
  <c r="B8" i="2"/>
  <c r="B51" i="5"/>
  <c r="B9" i="2"/>
  <c r="B52" i="5"/>
  <c r="B10" i="2"/>
  <c r="B53" i="5"/>
  <c r="B11" i="2"/>
  <c r="B54" i="5"/>
  <c r="B12" i="2"/>
  <c r="B55" i="5"/>
  <c r="B56" i="5"/>
  <c r="B60" i="5"/>
  <c r="B61" i="5"/>
  <c r="B62" i="5"/>
  <c r="B63" i="5"/>
  <c r="B64" i="5"/>
  <c r="B65" i="5"/>
  <c r="B66" i="5"/>
  <c r="B67" i="5"/>
  <c r="B68" i="5"/>
  <c r="B59" i="5"/>
  <c r="F31" i="2"/>
  <c r="F32" i="2"/>
  <c r="F33" i="2"/>
  <c r="F34" i="2"/>
  <c r="F35" i="2"/>
  <c r="F36" i="2"/>
  <c r="F37" i="2"/>
  <c r="F38" i="2"/>
  <c r="F39" i="2"/>
  <c r="F40" i="2"/>
  <c r="F41" i="2"/>
  <c r="F45" i="2"/>
  <c r="J2" i="5"/>
  <c r="G31" i="2"/>
  <c r="G32" i="2"/>
  <c r="G33" i="2"/>
  <c r="G34" i="2"/>
  <c r="G35" i="2"/>
  <c r="G36" i="2"/>
  <c r="G37" i="2"/>
  <c r="G38" i="2"/>
  <c r="G39" i="2"/>
  <c r="G40" i="2"/>
  <c r="G41" i="2"/>
  <c r="G45" i="2"/>
  <c r="K2" i="5"/>
  <c r="H31" i="2"/>
  <c r="H32" i="2"/>
  <c r="H33" i="2"/>
  <c r="H34" i="2"/>
  <c r="H35" i="2"/>
  <c r="H36" i="2"/>
  <c r="H37" i="2"/>
  <c r="H38" i="2"/>
  <c r="H39" i="2"/>
  <c r="H40" i="2"/>
  <c r="H41" i="2"/>
  <c r="H45" i="2"/>
  <c r="L2" i="5"/>
  <c r="I31" i="2"/>
  <c r="I32" i="2"/>
  <c r="I33" i="2"/>
  <c r="I34" i="2"/>
  <c r="I35" i="2"/>
  <c r="I36" i="2"/>
  <c r="I37" i="2"/>
  <c r="I38" i="2"/>
  <c r="I39" i="2"/>
  <c r="I40" i="2"/>
  <c r="I41" i="2"/>
  <c r="I45" i="2"/>
  <c r="M2" i="5"/>
  <c r="F46" i="2"/>
  <c r="J3" i="5"/>
  <c r="G46" i="2"/>
  <c r="K3" i="5"/>
  <c r="H46" i="2"/>
  <c r="L3" i="5"/>
  <c r="I46" i="2"/>
  <c r="M3" i="5"/>
  <c r="F47" i="2"/>
  <c r="J4" i="5"/>
  <c r="G47" i="2"/>
  <c r="K4" i="5"/>
  <c r="H47" i="2"/>
  <c r="L4" i="5"/>
  <c r="I47" i="2"/>
  <c r="M4" i="5"/>
  <c r="F48" i="2"/>
  <c r="J5" i="5"/>
  <c r="G48" i="2"/>
  <c r="K5" i="5"/>
  <c r="H48" i="2"/>
  <c r="L5" i="5"/>
  <c r="I48" i="2"/>
  <c r="M5" i="5"/>
  <c r="F49" i="2"/>
  <c r="J6" i="5"/>
  <c r="G49" i="2"/>
  <c r="K6" i="5"/>
  <c r="H49" i="2"/>
  <c r="L6" i="5"/>
  <c r="I49" i="2"/>
  <c r="M6" i="5"/>
  <c r="F50" i="2"/>
  <c r="J7" i="5"/>
  <c r="G50" i="2"/>
  <c r="K7" i="5"/>
  <c r="H50" i="2"/>
  <c r="L7" i="5"/>
  <c r="I50" i="2"/>
  <c r="M7" i="5"/>
  <c r="F51" i="2"/>
  <c r="J8" i="5"/>
  <c r="G51" i="2"/>
  <c r="K8" i="5"/>
  <c r="H51" i="2"/>
  <c r="L8" i="5"/>
  <c r="I51" i="2"/>
  <c r="M8" i="5"/>
  <c r="F52" i="2"/>
  <c r="J9" i="5"/>
  <c r="G52" i="2"/>
  <c r="K9" i="5"/>
  <c r="H52" i="2"/>
  <c r="L9" i="5"/>
  <c r="I52" i="2"/>
  <c r="M9" i="5"/>
  <c r="F53" i="2"/>
  <c r="J10" i="5"/>
  <c r="G53" i="2"/>
  <c r="K10" i="5"/>
  <c r="H53" i="2"/>
  <c r="L10" i="5"/>
  <c r="I53" i="2"/>
  <c r="M10" i="5"/>
  <c r="F54" i="2"/>
  <c r="J11" i="5"/>
  <c r="G54" i="2"/>
  <c r="K11" i="5"/>
  <c r="H54" i="2"/>
  <c r="L11" i="5"/>
  <c r="I54" i="2"/>
  <c r="M11" i="5"/>
  <c r="C2" i="14"/>
  <c r="D2" i="14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C159" i="14"/>
  <c r="D159" i="14"/>
  <c r="C160" i="14"/>
  <c r="D160" i="14"/>
  <c r="C161" i="14"/>
  <c r="D161" i="14"/>
  <c r="C162" i="14"/>
  <c r="D162" i="14"/>
  <c r="C163" i="14"/>
  <c r="D163" i="14"/>
  <c r="C164" i="14"/>
  <c r="D164" i="14"/>
  <c r="C165" i="14"/>
  <c r="D165" i="14"/>
  <c r="C166" i="14"/>
  <c r="D166" i="14"/>
  <c r="C167" i="14"/>
  <c r="D167" i="14"/>
  <c r="C168" i="14"/>
  <c r="D168" i="14"/>
  <c r="C169" i="14"/>
  <c r="D169" i="14"/>
  <c r="C170" i="14"/>
  <c r="D170" i="14"/>
  <c r="C171" i="14"/>
  <c r="D171" i="14"/>
  <c r="C172" i="14"/>
  <c r="D172" i="14"/>
  <c r="C173" i="14"/>
  <c r="D173" i="14"/>
  <c r="C174" i="14"/>
  <c r="D174" i="14"/>
  <c r="C175" i="14"/>
  <c r="D175" i="14"/>
  <c r="C176" i="14"/>
  <c r="D176" i="14"/>
  <c r="C177" i="14"/>
  <c r="D177" i="14"/>
  <c r="C178" i="14"/>
  <c r="D178" i="14"/>
  <c r="C179" i="14"/>
  <c r="D179" i="14"/>
  <c r="C180" i="14"/>
  <c r="D180" i="14"/>
  <c r="C181" i="14"/>
  <c r="D181" i="14"/>
  <c r="C182" i="14"/>
  <c r="D182" i="14"/>
  <c r="C183" i="14"/>
  <c r="D183" i="14"/>
  <c r="C184" i="14"/>
  <c r="D184" i="14"/>
  <c r="C185" i="14"/>
  <c r="D185" i="14"/>
  <c r="C186" i="14"/>
  <c r="D186" i="14"/>
  <c r="C187" i="14"/>
  <c r="D187" i="14"/>
  <c r="C188" i="14"/>
  <c r="D188" i="14"/>
  <c r="C189" i="14"/>
  <c r="D189" i="14"/>
  <c r="C190" i="14"/>
  <c r="D190" i="14"/>
  <c r="C191" i="14"/>
  <c r="D191" i="14"/>
  <c r="C192" i="14"/>
  <c r="D192" i="14"/>
  <c r="C193" i="14"/>
  <c r="D193" i="14"/>
  <c r="C194" i="14"/>
  <c r="D194" i="14"/>
  <c r="C195" i="14"/>
  <c r="D195" i="14"/>
  <c r="C196" i="14"/>
  <c r="D196" i="14"/>
  <c r="C197" i="14"/>
  <c r="D197" i="14"/>
  <c r="C198" i="14"/>
  <c r="D198" i="14"/>
  <c r="C199" i="14"/>
  <c r="D199" i="14"/>
  <c r="C200" i="14"/>
  <c r="D200" i="14"/>
  <c r="C201" i="14"/>
  <c r="D201" i="14"/>
  <c r="C202" i="14"/>
  <c r="D202" i="14"/>
  <c r="C203" i="14"/>
  <c r="D203" i="14"/>
  <c r="C204" i="14"/>
  <c r="D204" i="14"/>
  <c r="C205" i="14"/>
  <c r="D205" i="14"/>
  <c r="C206" i="14"/>
  <c r="D206" i="14"/>
  <c r="C207" i="14"/>
  <c r="D207" i="14"/>
  <c r="C208" i="14"/>
  <c r="D208" i="14"/>
  <c r="C209" i="14"/>
  <c r="D209" i="14"/>
  <c r="C210" i="14"/>
  <c r="D210" i="14"/>
  <c r="C211" i="14"/>
  <c r="D211" i="14"/>
  <c r="C212" i="14"/>
  <c r="D212" i="14"/>
  <c r="C213" i="14"/>
  <c r="D213" i="14"/>
  <c r="C214" i="14"/>
  <c r="D214" i="14"/>
  <c r="C215" i="14"/>
  <c r="D215" i="14"/>
  <c r="C216" i="14"/>
  <c r="D216" i="14"/>
  <c r="C217" i="14"/>
  <c r="D217" i="14"/>
  <c r="C218" i="14"/>
  <c r="D218" i="14"/>
  <c r="C219" i="14"/>
  <c r="D219" i="14"/>
  <c r="C220" i="14"/>
  <c r="D220" i="14"/>
  <c r="C221" i="14"/>
  <c r="D221" i="14"/>
  <c r="C222" i="14"/>
  <c r="D222" i="14"/>
  <c r="C223" i="14"/>
  <c r="D223" i="14"/>
  <c r="C224" i="14"/>
  <c r="D224" i="14"/>
  <c r="C225" i="14"/>
  <c r="D225" i="14"/>
  <c r="C226" i="14"/>
  <c r="D226" i="14"/>
  <c r="C227" i="14"/>
  <c r="D227" i="14"/>
  <c r="C228" i="14"/>
  <c r="D228" i="14"/>
  <c r="C229" i="14"/>
  <c r="D229" i="14"/>
  <c r="C230" i="14"/>
  <c r="D230" i="14"/>
  <c r="C231" i="14"/>
  <c r="D231" i="14"/>
  <c r="C232" i="14"/>
  <c r="D232" i="14"/>
  <c r="C233" i="14"/>
  <c r="D233" i="14"/>
  <c r="C234" i="14"/>
  <c r="D234" i="14"/>
  <c r="C235" i="14"/>
  <c r="D235" i="14"/>
  <c r="C236" i="14"/>
  <c r="D236" i="14"/>
  <c r="C237" i="14"/>
  <c r="D237" i="14"/>
  <c r="C238" i="14"/>
  <c r="D238" i="14"/>
  <c r="C239" i="14"/>
  <c r="D239" i="14"/>
  <c r="C240" i="14"/>
  <c r="D240" i="14"/>
  <c r="C241" i="14"/>
  <c r="D241" i="14"/>
  <c r="C242" i="14"/>
  <c r="D242" i="14"/>
  <c r="C243" i="14"/>
  <c r="D243" i="14"/>
  <c r="C244" i="14"/>
  <c r="D244" i="14"/>
  <c r="C245" i="14"/>
  <c r="D245" i="14"/>
  <c r="C246" i="14"/>
  <c r="D246" i="14"/>
  <c r="C247" i="14"/>
  <c r="D247" i="14"/>
  <c r="C248" i="14"/>
  <c r="D248" i="14"/>
  <c r="C249" i="14"/>
  <c r="D249" i="14"/>
  <c r="C250" i="14"/>
  <c r="D250" i="14"/>
  <c r="C251" i="14"/>
  <c r="D251" i="14"/>
  <c r="C252" i="14"/>
  <c r="D252" i="14"/>
  <c r="C253" i="14"/>
  <c r="D253" i="14"/>
  <c r="C254" i="14"/>
  <c r="D254" i="14"/>
  <c r="C255" i="14"/>
  <c r="D255" i="14"/>
  <c r="C2" i="13"/>
  <c r="D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4" i="13"/>
  <c r="D164" i="13"/>
  <c r="C165" i="13"/>
  <c r="D165" i="13"/>
  <c r="C166" i="13"/>
  <c r="D166" i="13"/>
  <c r="C167" i="13"/>
  <c r="D167" i="13"/>
  <c r="C168" i="13"/>
  <c r="D168" i="13"/>
  <c r="C169" i="13"/>
  <c r="D169" i="13"/>
  <c r="C170" i="13"/>
  <c r="D170" i="13"/>
  <c r="C171" i="13"/>
  <c r="D171" i="13"/>
  <c r="C172" i="13"/>
  <c r="D172" i="13"/>
  <c r="C173" i="13"/>
  <c r="D173" i="13"/>
  <c r="C174" i="13"/>
  <c r="D174" i="13"/>
  <c r="C175" i="13"/>
  <c r="D175" i="13"/>
  <c r="C176" i="13"/>
  <c r="D176" i="13"/>
  <c r="C177" i="13"/>
  <c r="D177" i="13"/>
  <c r="C178" i="13"/>
  <c r="D178" i="13"/>
  <c r="C179" i="13"/>
  <c r="D179" i="13"/>
  <c r="C180" i="13"/>
  <c r="D180" i="13"/>
  <c r="C181" i="13"/>
  <c r="D181" i="13"/>
  <c r="C182" i="13"/>
  <c r="D182" i="13"/>
  <c r="C183" i="13"/>
  <c r="D183" i="13"/>
  <c r="C184" i="13"/>
  <c r="D184" i="13"/>
  <c r="C185" i="13"/>
  <c r="D185" i="13"/>
  <c r="C186" i="13"/>
  <c r="D186" i="13"/>
  <c r="C187" i="13"/>
  <c r="D187" i="13"/>
  <c r="C188" i="13"/>
  <c r="D188" i="13"/>
  <c r="C189" i="13"/>
  <c r="D189" i="13"/>
  <c r="C190" i="13"/>
  <c r="D190" i="13"/>
  <c r="C191" i="13"/>
  <c r="D191" i="13"/>
  <c r="C192" i="13"/>
  <c r="D192" i="13"/>
  <c r="C193" i="13"/>
  <c r="D193" i="13"/>
  <c r="C194" i="13"/>
  <c r="D194" i="13"/>
  <c r="C195" i="13"/>
  <c r="D195" i="13"/>
  <c r="C196" i="13"/>
  <c r="D196" i="13"/>
  <c r="C197" i="13"/>
  <c r="D197" i="13"/>
  <c r="C198" i="13"/>
  <c r="D198" i="13"/>
  <c r="C199" i="13"/>
  <c r="D199" i="13"/>
  <c r="C200" i="13"/>
  <c r="D200" i="13"/>
  <c r="C201" i="13"/>
  <c r="D201" i="13"/>
  <c r="C202" i="13"/>
  <c r="D202" i="13"/>
  <c r="C203" i="13"/>
  <c r="D203" i="13"/>
  <c r="C204" i="13"/>
  <c r="D204" i="13"/>
  <c r="C205" i="13"/>
  <c r="D205" i="13"/>
  <c r="C206" i="13"/>
  <c r="D206" i="13"/>
  <c r="C207" i="13"/>
  <c r="D207" i="13"/>
  <c r="C208" i="13"/>
  <c r="D208" i="13"/>
  <c r="C209" i="13"/>
  <c r="D209" i="13"/>
  <c r="C210" i="13"/>
  <c r="D210" i="13"/>
  <c r="C211" i="13"/>
  <c r="D211" i="13"/>
  <c r="C212" i="13"/>
  <c r="D212" i="13"/>
  <c r="C213" i="13"/>
  <c r="D213" i="13"/>
  <c r="C214" i="13"/>
  <c r="D214" i="13"/>
  <c r="C215" i="13"/>
  <c r="D215" i="13"/>
  <c r="C216" i="13"/>
  <c r="D216" i="13"/>
  <c r="C217" i="13"/>
  <c r="D217" i="13"/>
  <c r="C218" i="13"/>
  <c r="D218" i="13"/>
  <c r="C219" i="13"/>
  <c r="D219" i="13"/>
  <c r="C220" i="13"/>
  <c r="D220" i="13"/>
  <c r="C221" i="13"/>
  <c r="D221" i="13"/>
  <c r="C222" i="13"/>
  <c r="D222" i="13"/>
  <c r="C223" i="13"/>
  <c r="D223" i="13"/>
  <c r="C224" i="13"/>
  <c r="D224" i="13"/>
  <c r="C225" i="13"/>
  <c r="D225" i="13"/>
  <c r="C226" i="13"/>
  <c r="D226" i="13"/>
  <c r="C227" i="13"/>
  <c r="D227" i="13"/>
  <c r="C228" i="13"/>
  <c r="D228" i="13"/>
  <c r="C229" i="13"/>
  <c r="D229" i="13"/>
  <c r="C230" i="13"/>
  <c r="D230" i="13"/>
  <c r="C231" i="13"/>
  <c r="D231" i="13"/>
  <c r="C232" i="13"/>
  <c r="D232" i="13"/>
  <c r="C233" i="13"/>
  <c r="D233" i="13"/>
  <c r="C234" i="13"/>
  <c r="D234" i="13"/>
  <c r="C235" i="13"/>
  <c r="D235" i="13"/>
  <c r="C236" i="13"/>
  <c r="D236" i="13"/>
  <c r="C237" i="13"/>
  <c r="D237" i="13"/>
  <c r="C238" i="13"/>
  <c r="D238" i="13"/>
  <c r="C239" i="13"/>
  <c r="D239" i="13"/>
  <c r="C240" i="13"/>
  <c r="D240" i="13"/>
  <c r="C241" i="13"/>
  <c r="D241" i="13"/>
  <c r="C242" i="13"/>
  <c r="D242" i="13"/>
  <c r="C243" i="13"/>
  <c r="D243" i="13"/>
  <c r="C244" i="13"/>
  <c r="D244" i="13"/>
  <c r="C245" i="13"/>
  <c r="D245" i="13"/>
  <c r="C246" i="13"/>
  <c r="D246" i="13"/>
  <c r="C247" i="13"/>
  <c r="D247" i="13"/>
  <c r="C248" i="13"/>
  <c r="D248" i="13"/>
  <c r="C249" i="13"/>
  <c r="D249" i="13"/>
  <c r="C250" i="13"/>
  <c r="D250" i="13"/>
  <c r="C251" i="13"/>
  <c r="D251" i="13"/>
  <c r="C252" i="13"/>
  <c r="D252" i="13"/>
  <c r="C253" i="13"/>
  <c r="D253" i="13"/>
  <c r="C254" i="13"/>
  <c r="D254" i="13"/>
  <c r="C255" i="13"/>
  <c r="D255" i="13"/>
  <c r="C2" i="12"/>
  <c r="D2" i="12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112" i="12"/>
  <c r="D112" i="12"/>
  <c r="C113" i="12"/>
  <c r="D113" i="12"/>
  <c r="C114" i="12"/>
  <c r="D114" i="12"/>
  <c r="C115" i="12"/>
  <c r="D115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122" i="12"/>
  <c r="D122" i="12"/>
  <c r="C123" i="12"/>
  <c r="D123" i="12"/>
  <c r="C124" i="12"/>
  <c r="D124" i="12"/>
  <c r="C125" i="12"/>
  <c r="D125" i="12"/>
  <c r="C126" i="12"/>
  <c r="D126" i="12"/>
  <c r="C127" i="12"/>
  <c r="D127" i="12"/>
  <c r="C128" i="12"/>
  <c r="D128" i="12"/>
  <c r="C129" i="12"/>
  <c r="D129" i="12"/>
  <c r="C130" i="12"/>
  <c r="D130" i="12"/>
  <c r="C131" i="12"/>
  <c r="D131" i="12"/>
  <c r="C132" i="12"/>
  <c r="D132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141" i="12"/>
  <c r="D141" i="12"/>
  <c r="C142" i="12"/>
  <c r="D142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50" i="12"/>
  <c r="D150" i="12"/>
  <c r="C151" i="12"/>
  <c r="D151" i="12"/>
  <c r="C152" i="12"/>
  <c r="D152" i="12"/>
  <c r="C153" i="12"/>
  <c r="D153" i="12"/>
  <c r="C154" i="12"/>
  <c r="D154" i="12"/>
  <c r="C155" i="12"/>
  <c r="D155" i="12"/>
  <c r="C156" i="12"/>
  <c r="D156" i="12"/>
  <c r="C157" i="12"/>
  <c r="D157" i="12"/>
  <c r="C158" i="12"/>
  <c r="D158" i="12"/>
  <c r="C159" i="12"/>
  <c r="D159" i="12"/>
  <c r="C160" i="12"/>
  <c r="D160" i="12"/>
  <c r="C161" i="12"/>
  <c r="D161" i="12"/>
  <c r="C162" i="12"/>
  <c r="D162" i="12"/>
  <c r="C163" i="12"/>
  <c r="D163" i="12"/>
  <c r="C164" i="12"/>
  <c r="D164" i="12"/>
  <c r="C165" i="12"/>
  <c r="D165" i="12"/>
  <c r="C166" i="12"/>
  <c r="D166" i="12"/>
  <c r="C167" i="12"/>
  <c r="D167" i="12"/>
  <c r="C168" i="12"/>
  <c r="D168" i="12"/>
  <c r="C169" i="12"/>
  <c r="D169" i="12"/>
  <c r="C170" i="12"/>
  <c r="D170" i="12"/>
  <c r="C171" i="12"/>
  <c r="D171" i="12"/>
  <c r="C172" i="12"/>
  <c r="D172" i="12"/>
  <c r="C173" i="12"/>
  <c r="D173" i="12"/>
  <c r="C174" i="12"/>
  <c r="D174" i="12"/>
  <c r="C175" i="12"/>
  <c r="D175" i="12"/>
  <c r="C176" i="12"/>
  <c r="D176" i="12"/>
  <c r="C177" i="12"/>
  <c r="D177" i="12"/>
  <c r="C178" i="12"/>
  <c r="D178" i="12"/>
  <c r="C179" i="12"/>
  <c r="D179" i="12"/>
  <c r="C180" i="12"/>
  <c r="D180" i="12"/>
  <c r="C181" i="12"/>
  <c r="D181" i="12"/>
  <c r="C182" i="12"/>
  <c r="D182" i="12"/>
  <c r="C183" i="12"/>
  <c r="D183" i="12"/>
  <c r="C184" i="12"/>
  <c r="D184" i="12"/>
  <c r="C185" i="12"/>
  <c r="D185" i="12"/>
  <c r="C186" i="12"/>
  <c r="D186" i="12"/>
  <c r="C187" i="12"/>
  <c r="D187" i="12"/>
  <c r="C188" i="12"/>
  <c r="D188" i="12"/>
  <c r="C189" i="12"/>
  <c r="D189" i="12"/>
  <c r="C190" i="12"/>
  <c r="D190" i="12"/>
  <c r="C191" i="12"/>
  <c r="D191" i="12"/>
  <c r="C192" i="12"/>
  <c r="D192" i="12"/>
  <c r="C193" i="12"/>
  <c r="D193" i="12"/>
  <c r="C194" i="12"/>
  <c r="D194" i="12"/>
  <c r="C195" i="12"/>
  <c r="D195" i="12"/>
  <c r="C196" i="12"/>
  <c r="D196" i="12"/>
  <c r="C197" i="12"/>
  <c r="D197" i="12"/>
  <c r="C198" i="12"/>
  <c r="D198" i="12"/>
  <c r="C199" i="12"/>
  <c r="D199" i="12"/>
  <c r="C200" i="12"/>
  <c r="D200" i="12"/>
  <c r="C201" i="12"/>
  <c r="D201" i="12"/>
  <c r="C202" i="12"/>
  <c r="D202" i="12"/>
  <c r="C203" i="12"/>
  <c r="D203" i="12"/>
  <c r="C204" i="12"/>
  <c r="D204" i="12"/>
  <c r="C205" i="12"/>
  <c r="D205" i="12"/>
  <c r="C206" i="12"/>
  <c r="D206" i="12"/>
  <c r="C207" i="12"/>
  <c r="D207" i="12"/>
  <c r="C208" i="12"/>
  <c r="D208" i="12"/>
  <c r="C209" i="12"/>
  <c r="D209" i="12"/>
  <c r="C210" i="12"/>
  <c r="D210" i="12"/>
  <c r="C211" i="12"/>
  <c r="D211" i="12"/>
  <c r="C212" i="12"/>
  <c r="D212" i="12"/>
  <c r="C213" i="12"/>
  <c r="D213" i="12"/>
  <c r="C214" i="12"/>
  <c r="D214" i="12"/>
  <c r="C215" i="12"/>
  <c r="D215" i="12"/>
  <c r="C216" i="12"/>
  <c r="D216" i="12"/>
  <c r="C217" i="12"/>
  <c r="D217" i="12"/>
  <c r="C218" i="12"/>
  <c r="D218" i="12"/>
  <c r="C219" i="12"/>
  <c r="D219" i="12"/>
  <c r="C220" i="12"/>
  <c r="D220" i="12"/>
  <c r="C221" i="12"/>
  <c r="D221" i="12"/>
  <c r="C222" i="12"/>
  <c r="D222" i="12"/>
  <c r="C223" i="12"/>
  <c r="D223" i="12"/>
  <c r="C224" i="12"/>
  <c r="D224" i="12"/>
  <c r="C225" i="12"/>
  <c r="D225" i="12"/>
  <c r="C226" i="12"/>
  <c r="D226" i="12"/>
  <c r="C227" i="12"/>
  <c r="D227" i="12"/>
  <c r="C228" i="12"/>
  <c r="D228" i="12"/>
  <c r="C229" i="12"/>
  <c r="D229" i="12"/>
  <c r="C230" i="12"/>
  <c r="D230" i="12"/>
  <c r="C231" i="12"/>
  <c r="D231" i="12"/>
  <c r="C232" i="12"/>
  <c r="D232" i="12"/>
  <c r="C233" i="12"/>
  <c r="D233" i="12"/>
  <c r="C234" i="12"/>
  <c r="D234" i="12"/>
  <c r="C235" i="12"/>
  <c r="D235" i="12"/>
  <c r="C236" i="12"/>
  <c r="D236" i="12"/>
  <c r="C237" i="12"/>
  <c r="D237" i="12"/>
  <c r="C238" i="12"/>
  <c r="D238" i="12"/>
  <c r="C239" i="12"/>
  <c r="D239" i="12"/>
  <c r="C240" i="12"/>
  <c r="D240" i="12"/>
  <c r="C241" i="12"/>
  <c r="D241" i="12"/>
  <c r="C242" i="12"/>
  <c r="D242" i="12"/>
  <c r="C243" i="12"/>
  <c r="D243" i="12"/>
  <c r="C244" i="12"/>
  <c r="D244" i="12"/>
  <c r="C245" i="12"/>
  <c r="D245" i="12"/>
  <c r="C246" i="12"/>
  <c r="D246" i="12"/>
  <c r="C247" i="12"/>
  <c r="D247" i="12"/>
  <c r="C248" i="12"/>
  <c r="D248" i="12"/>
  <c r="C249" i="12"/>
  <c r="D249" i="12"/>
  <c r="C250" i="12"/>
  <c r="D250" i="12"/>
  <c r="C251" i="12"/>
  <c r="D251" i="12"/>
  <c r="C252" i="12"/>
  <c r="D252" i="12"/>
  <c r="C253" i="12"/>
  <c r="D253" i="12"/>
  <c r="C254" i="12"/>
  <c r="D254" i="12"/>
  <c r="C255" i="12"/>
  <c r="D255" i="12"/>
  <c r="F87" i="2"/>
  <c r="F88" i="2"/>
  <c r="F89" i="2"/>
  <c r="F90" i="2"/>
  <c r="F91" i="2"/>
  <c r="F92" i="2"/>
  <c r="F93" i="2"/>
  <c r="F94" i="2"/>
  <c r="F95" i="2"/>
  <c r="F96" i="2"/>
  <c r="F97" i="2"/>
  <c r="F101" i="2"/>
  <c r="Z2" i="5"/>
  <c r="G87" i="2"/>
  <c r="G88" i="2"/>
  <c r="G89" i="2"/>
  <c r="G90" i="2"/>
  <c r="G91" i="2"/>
  <c r="G92" i="2"/>
  <c r="G93" i="2"/>
  <c r="G94" i="2"/>
  <c r="G95" i="2"/>
  <c r="G96" i="2"/>
  <c r="G97" i="2"/>
  <c r="G101" i="2"/>
  <c r="AA2" i="5"/>
  <c r="H87" i="2"/>
  <c r="H88" i="2"/>
  <c r="H89" i="2"/>
  <c r="H90" i="2"/>
  <c r="H91" i="2"/>
  <c r="H92" i="2"/>
  <c r="H93" i="2"/>
  <c r="H94" i="2"/>
  <c r="H95" i="2"/>
  <c r="H96" i="2"/>
  <c r="H97" i="2"/>
  <c r="H101" i="2"/>
  <c r="AB2" i="5"/>
  <c r="I87" i="2"/>
  <c r="I88" i="2"/>
  <c r="I89" i="2"/>
  <c r="I90" i="2"/>
  <c r="I91" i="2"/>
  <c r="I92" i="2"/>
  <c r="I93" i="2"/>
  <c r="I94" i="2"/>
  <c r="I95" i="2"/>
  <c r="I96" i="2"/>
  <c r="I97" i="2"/>
  <c r="I101" i="2"/>
  <c r="AC2" i="5"/>
  <c r="F102" i="2"/>
  <c r="Z3" i="5"/>
  <c r="G102" i="2"/>
  <c r="AA3" i="5"/>
  <c r="H102" i="2"/>
  <c r="AB3" i="5"/>
  <c r="I102" i="2"/>
  <c r="AC3" i="5"/>
  <c r="F103" i="2"/>
  <c r="Z4" i="5"/>
  <c r="G103" i="2"/>
  <c r="AA4" i="5"/>
  <c r="H103" i="2"/>
  <c r="AB4" i="5"/>
  <c r="I103" i="2"/>
  <c r="AC4" i="5"/>
  <c r="F104" i="2"/>
  <c r="Z5" i="5"/>
  <c r="G104" i="2"/>
  <c r="AA5" i="5"/>
  <c r="H104" i="2"/>
  <c r="AB5" i="5"/>
  <c r="I104" i="2"/>
  <c r="AC5" i="5"/>
  <c r="F105" i="2"/>
  <c r="Z6" i="5"/>
  <c r="G105" i="2"/>
  <c r="AA6" i="5"/>
  <c r="H105" i="2"/>
  <c r="AB6" i="5"/>
  <c r="I105" i="2"/>
  <c r="AC6" i="5"/>
  <c r="F106" i="2"/>
  <c r="Z7" i="5"/>
  <c r="G106" i="2"/>
  <c r="AA7" i="5"/>
  <c r="H106" i="2"/>
  <c r="AB7" i="5"/>
  <c r="I106" i="2"/>
  <c r="AC7" i="5"/>
  <c r="F107" i="2"/>
  <c r="Z8" i="5"/>
  <c r="G107" i="2"/>
  <c r="AA8" i="5"/>
  <c r="H107" i="2"/>
  <c r="AB8" i="5"/>
  <c r="I107" i="2"/>
  <c r="AC8" i="5"/>
  <c r="F108" i="2"/>
  <c r="Z9" i="5"/>
  <c r="G108" i="2"/>
  <c r="AA9" i="5"/>
  <c r="H108" i="2"/>
  <c r="AB9" i="5"/>
  <c r="I108" i="2"/>
  <c r="AC9" i="5"/>
  <c r="F109" i="2"/>
  <c r="Z10" i="5"/>
  <c r="G109" i="2"/>
  <c r="AA10" i="5"/>
  <c r="H109" i="2"/>
  <c r="AB10" i="5"/>
  <c r="I109" i="2"/>
  <c r="AC10" i="5"/>
  <c r="F110" i="2"/>
  <c r="Z11" i="5"/>
  <c r="G110" i="2"/>
  <c r="AA11" i="5"/>
  <c r="H110" i="2"/>
  <c r="AB11" i="5"/>
  <c r="I110" i="2"/>
  <c r="AC11" i="5"/>
  <c r="F59" i="2"/>
  <c r="F60" i="2"/>
  <c r="F61" i="2"/>
  <c r="F62" i="2"/>
  <c r="F63" i="2"/>
  <c r="F64" i="2"/>
  <c r="F65" i="2"/>
  <c r="F66" i="2"/>
  <c r="F67" i="2"/>
  <c r="F68" i="2"/>
  <c r="F69" i="2"/>
  <c r="F73" i="2"/>
  <c r="R2" i="5"/>
  <c r="G59" i="2"/>
  <c r="G60" i="2"/>
  <c r="G61" i="2"/>
  <c r="G62" i="2"/>
  <c r="G63" i="2"/>
  <c r="G64" i="2"/>
  <c r="G65" i="2"/>
  <c r="G66" i="2"/>
  <c r="G67" i="2"/>
  <c r="G68" i="2"/>
  <c r="G69" i="2"/>
  <c r="G73" i="2"/>
  <c r="S2" i="5"/>
  <c r="H59" i="2"/>
  <c r="H60" i="2"/>
  <c r="H61" i="2"/>
  <c r="H62" i="2"/>
  <c r="H63" i="2"/>
  <c r="H64" i="2"/>
  <c r="H65" i="2"/>
  <c r="H66" i="2"/>
  <c r="H67" i="2"/>
  <c r="H68" i="2"/>
  <c r="H69" i="2"/>
  <c r="H73" i="2"/>
  <c r="T2" i="5"/>
  <c r="I59" i="2"/>
  <c r="I60" i="2"/>
  <c r="I61" i="2"/>
  <c r="I62" i="2"/>
  <c r="I63" i="2"/>
  <c r="I64" i="2"/>
  <c r="I65" i="2"/>
  <c r="I66" i="2"/>
  <c r="I67" i="2"/>
  <c r="I68" i="2"/>
  <c r="I69" i="2"/>
  <c r="I73" i="2"/>
  <c r="U2" i="5"/>
  <c r="F74" i="2"/>
  <c r="R3" i="5"/>
  <c r="G74" i="2"/>
  <c r="S3" i="5"/>
  <c r="H74" i="2"/>
  <c r="T3" i="5"/>
  <c r="I74" i="2"/>
  <c r="U3" i="5"/>
  <c r="F75" i="2"/>
  <c r="R4" i="5"/>
  <c r="G75" i="2"/>
  <c r="S4" i="5"/>
  <c r="H75" i="2"/>
  <c r="T4" i="5"/>
  <c r="I75" i="2"/>
  <c r="U4" i="5"/>
  <c r="F76" i="2"/>
  <c r="R5" i="5"/>
  <c r="G76" i="2"/>
  <c r="S5" i="5"/>
  <c r="H76" i="2"/>
  <c r="T5" i="5"/>
  <c r="I76" i="2"/>
  <c r="U5" i="5"/>
  <c r="F77" i="2"/>
  <c r="R6" i="5"/>
  <c r="G77" i="2"/>
  <c r="S6" i="5"/>
  <c r="H77" i="2"/>
  <c r="T6" i="5"/>
  <c r="I77" i="2"/>
  <c r="U6" i="5"/>
  <c r="F78" i="2"/>
  <c r="R7" i="5"/>
  <c r="G78" i="2"/>
  <c r="S7" i="5"/>
  <c r="H78" i="2"/>
  <c r="T7" i="5"/>
  <c r="I78" i="2"/>
  <c r="U7" i="5"/>
  <c r="F79" i="2"/>
  <c r="R8" i="5"/>
  <c r="G79" i="2"/>
  <c r="S8" i="5"/>
  <c r="H79" i="2"/>
  <c r="T8" i="5"/>
  <c r="I79" i="2"/>
  <c r="U8" i="5"/>
  <c r="F80" i="2"/>
  <c r="R9" i="5"/>
  <c r="G80" i="2"/>
  <c r="S9" i="5"/>
  <c r="H80" i="2"/>
  <c r="T9" i="5"/>
  <c r="I80" i="2"/>
  <c r="U9" i="5"/>
  <c r="F81" i="2"/>
  <c r="R10" i="5"/>
  <c r="G81" i="2"/>
  <c r="S10" i="5"/>
  <c r="H81" i="2"/>
  <c r="T10" i="5"/>
  <c r="I81" i="2"/>
  <c r="U10" i="5"/>
  <c r="F82" i="2"/>
  <c r="R11" i="5"/>
  <c r="G82" i="2"/>
  <c r="S11" i="5"/>
  <c r="H82" i="2"/>
  <c r="T11" i="5"/>
  <c r="I82" i="2"/>
  <c r="U11" i="5"/>
  <c r="E31" i="2"/>
  <c r="E32" i="2"/>
  <c r="E33" i="2"/>
  <c r="E34" i="2"/>
  <c r="E35" i="2"/>
  <c r="E36" i="2"/>
  <c r="E37" i="2"/>
  <c r="E38" i="2"/>
  <c r="E39" i="2"/>
  <c r="E40" i="2"/>
  <c r="D31" i="2"/>
  <c r="D32" i="2"/>
  <c r="D33" i="2"/>
  <c r="D34" i="2"/>
  <c r="D35" i="2"/>
  <c r="D36" i="2"/>
  <c r="D37" i="2"/>
  <c r="D38" i="2"/>
  <c r="D39" i="2"/>
  <c r="D40" i="2"/>
  <c r="C31" i="2"/>
  <c r="C32" i="2"/>
  <c r="C33" i="2"/>
  <c r="C34" i="2"/>
  <c r="C35" i="2"/>
  <c r="C36" i="2"/>
  <c r="C37" i="2"/>
  <c r="C38" i="2"/>
  <c r="C39" i="2"/>
  <c r="C40" i="2"/>
  <c r="Q31" i="2"/>
  <c r="R31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E87" i="2"/>
  <c r="E88" i="2"/>
  <c r="E89" i="2"/>
  <c r="E90" i="2"/>
  <c r="E91" i="2"/>
  <c r="E92" i="2"/>
  <c r="E93" i="2"/>
  <c r="E94" i="2"/>
  <c r="E95" i="2"/>
  <c r="E96" i="2"/>
  <c r="D87" i="2"/>
  <c r="D88" i="2"/>
  <c r="D89" i="2"/>
  <c r="D90" i="2"/>
  <c r="D91" i="2"/>
  <c r="D92" i="2"/>
  <c r="D93" i="2"/>
  <c r="D94" i="2"/>
  <c r="D95" i="2"/>
  <c r="D96" i="2"/>
  <c r="C87" i="2"/>
  <c r="C88" i="2"/>
  <c r="C89" i="2"/>
  <c r="C90" i="2"/>
  <c r="C91" i="2"/>
  <c r="C92" i="2"/>
  <c r="C93" i="2"/>
  <c r="C94" i="2"/>
  <c r="C95" i="2"/>
  <c r="C96" i="2"/>
  <c r="Q87" i="2"/>
  <c r="R87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Q3" i="2"/>
  <c r="R3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59" i="2"/>
  <c r="R59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E59" i="2"/>
  <c r="E60" i="2"/>
  <c r="E61" i="2"/>
  <c r="E62" i="2"/>
  <c r="E63" i="2"/>
  <c r="E64" i="2"/>
  <c r="E65" i="2"/>
  <c r="E66" i="2"/>
  <c r="E67" i="2"/>
  <c r="E68" i="2"/>
  <c r="D59" i="2"/>
  <c r="D60" i="2"/>
  <c r="D61" i="2"/>
  <c r="D62" i="2"/>
  <c r="D63" i="2"/>
  <c r="D64" i="2"/>
  <c r="D65" i="2"/>
  <c r="D66" i="2"/>
  <c r="D67" i="2"/>
  <c r="D68" i="2"/>
  <c r="C59" i="2"/>
  <c r="C60" i="2"/>
  <c r="C61" i="2"/>
  <c r="C62" i="2"/>
  <c r="C63" i="2"/>
  <c r="C64" i="2"/>
  <c r="C65" i="2"/>
  <c r="C66" i="2"/>
  <c r="C67" i="2"/>
  <c r="C68" i="2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C98" i="34"/>
  <c r="B98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Q74" i="34"/>
  <c r="Q75" i="34"/>
  <c r="Q76" i="34"/>
  <c r="Q77" i="34"/>
  <c r="Q78" i="34"/>
  <c r="Q79" i="34"/>
  <c r="Q80" i="34"/>
  <c r="Q81" i="34"/>
  <c r="Q82" i="34"/>
  <c r="Q83" i="34"/>
  <c r="P74" i="34"/>
  <c r="P75" i="34"/>
  <c r="P76" i="34"/>
  <c r="P77" i="34"/>
  <c r="P78" i="34"/>
  <c r="P79" i="34"/>
  <c r="P80" i="34"/>
  <c r="P81" i="34"/>
  <c r="P82" i="34"/>
  <c r="P83" i="34"/>
  <c r="O74" i="34"/>
  <c r="O75" i="34"/>
  <c r="O76" i="34"/>
  <c r="O77" i="34"/>
  <c r="O78" i="34"/>
  <c r="O79" i="34"/>
  <c r="O80" i="34"/>
  <c r="O81" i="34"/>
  <c r="O82" i="34"/>
  <c r="O83" i="34"/>
  <c r="N74" i="34"/>
  <c r="N75" i="34"/>
  <c r="N76" i="34"/>
  <c r="N77" i="34"/>
  <c r="N78" i="34"/>
  <c r="N79" i="34"/>
  <c r="N80" i="34"/>
  <c r="N81" i="34"/>
  <c r="N82" i="34"/>
  <c r="N83" i="34"/>
  <c r="M74" i="34"/>
  <c r="M75" i="34"/>
  <c r="M76" i="34"/>
  <c r="M77" i="34"/>
  <c r="M78" i="34"/>
  <c r="M79" i="34"/>
  <c r="M80" i="34"/>
  <c r="M81" i="34"/>
  <c r="M82" i="34"/>
  <c r="M83" i="34"/>
  <c r="L74" i="34"/>
  <c r="L75" i="34"/>
  <c r="L76" i="34"/>
  <c r="L77" i="34"/>
  <c r="L78" i="34"/>
  <c r="L79" i="34"/>
  <c r="L80" i="34"/>
  <c r="L81" i="34"/>
  <c r="L82" i="34"/>
  <c r="L83" i="34"/>
  <c r="K74" i="34"/>
  <c r="K75" i="34"/>
  <c r="K76" i="34"/>
  <c r="K77" i="34"/>
  <c r="K78" i="34"/>
  <c r="K79" i="34"/>
  <c r="K80" i="34"/>
  <c r="K81" i="34"/>
  <c r="K82" i="34"/>
  <c r="K83" i="34"/>
  <c r="J74" i="34"/>
  <c r="J75" i="34"/>
  <c r="J76" i="34"/>
  <c r="J77" i="34"/>
  <c r="J78" i="34"/>
  <c r="J79" i="34"/>
  <c r="J80" i="34"/>
  <c r="J81" i="34"/>
  <c r="J82" i="34"/>
  <c r="J83" i="34"/>
  <c r="I74" i="34"/>
  <c r="I75" i="34"/>
  <c r="I76" i="34"/>
  <c r="I77" i="34"/>
  <c r="I78" i="34"/>
  <c r="I79" i="34"/>
  <c r="I80" i="34"/>
  <c r="I81" i="34"/>
  <c r="I82" i="34"/>
  <c r="I83" i="34"/>
  <c r="H74" i="34"/>
  <c r="H75" i="34"/>
  <c r="H76" i="34"/>
  <c r="H77" i="34"/>
  <c r="H78" i="34"/>
  <c r="H79" i="34"/>
  <c r="H80" i="34"/>
  <c r="H81" i="34"/>
  <c r="H82" i="34"/>
  <c r="H83" i="34"/>
  <c r="G74" i="34"/>
  <c r="G75" i="34"/>
  <c r="G76" i="34"/>
  <c r="G77" i="34"/>
  <c r="G78" i="34"/>
  <c r="G79" i="34"/>
  <c r="G80" i="34"/>
  <c r="G81" i="34"/>
  <c r="G82" i="34"/>
  <c r="G83" i="34"/>
  <c r="F74" i="34"/>
  <c r="F75" i="34"/>
  <c r="F76" i="34"/>
  <c r="F77" i="34"/>
  <c r="F78" i="34"/>
  <c r="F79" i="34"/>
  <c r="F80" i="34"/>
  <c r="F81" i="34"/>
  <c r="F82" i="34"/>
  <c r="F83" i="34"/>
  <c r="E74" i="34"/>
  <c r="E75" i="34"/>
  <c r="E76" i="34"/>
  <c r="E77" i="34"/>
  <c r="E78" i="34"/>
  <c r="E79" i="34"/>
  <c r="E80" i="34"/>
  <c r="E81" i="34"/>
  <c r="E82" i="34"/>
  <c r="E83" i="34"/>
  <c r="D74" i="34"/>
  <c r="D75" i="34"/>
  <c r="D76" i="34"/>
  <c r="D77" i="34"/>
  <c r="D78" i="34"/>
  <c r="D79" i="34"/>
  <c r="D80" i="34"/>
  <c r="D81" i="34"/>
  <c r="D82" i="34"/>
  <c r="D83" i="34"/>
  <c r="C74" i="34"/>
  <c r="C75" i="34"/>
  <c r="C76" i="34"/>
  <c r="C77" i="34"/>
  <c r="C78" i="34"/>
  <c r="C79" i="34"/>
  <c r="C80" i="34"/>
  <c r="C81" i="34"/>
  <c r="C82" i="34"/>
  <c r="C83" i="34"/>
  <c r="B74" i="34"/>
  <c r="B75" i="34"/>
  <c r="B76" i="34"/>
  <c r="B77" i="34"/>
  <c r="B78" i="34"/>
  <c r="B79" i="34"/>
  <c r="B80" i="34"/>
  <c r="B81" i="34"/>
  <c r="B82" i="34"/>
  <c r="B83" i="34"/>
  <c r="Q40" i="34"/>
  <c r="Q41" i="34"/>
  <c r="Q42" i="34"/>
  <c r="Q43" i="34"/>
  <c r="Q44" i="34"/>
  <c r="Q45" i="34"/>
  <c r="Q46" i="34"/>
  <c r="Q47" i="34"/>
  <c r="Q48" i="34"/>
  <c r="Q49" i="34"/>
  <c r="P40" i="34"/>
  <c r="P41" i="34"/>
  <c r="P42" i="34"/>
  <c r="P43" i="34"/>
  <c r="P44" i="34"/>
  <c r="P45" i="34"/>
  <c r="P46" i="34"/>
  <c r="P47" i="34"/>
  <c r="P48" i="34"/>
  <c r="P49" i="34"/>
  <c r="O40" i="34"/>
  <c r="O41" i="34"/>
  <c r="O42" i="34"/>
  <c r="O43" i="34"/>
  <c r="O44" i="34"/>
  <c r="O45" i="34"/>
  <c r="O46" i="34"/>
  <c r="O47" i="34"/>
  <c r="O48" i="34"/>
  <c r="O49" i="34"/>
  <c r="N40" i="34"/>
  <c r="N41" i="34"/>
  <c r="N42" i="34"/>
  <c r="N43" i="34"/>
  <c r="N44" i="34"/>
  <c r="N45" i="34"/>
  <c r="N46" i="34"/>
  <c r="N47" i="34"/>
  <c r="N48" i="34"/>
  <c r="N49" i="34"/>
  <c r="M40" i="34"/>
  <c r="M41" i="34"/>
  <c r="M42" i="34"/>
  <c r="M43" i="34"/>
  <c r="M44" i="34"/>
  <c r="M45" i="34"/>
  <c r="M46" i="34"/>
  <c r="M47" i="34"/>
  <c r="M48" i="34"/>
  <c r="M49" i="34"/>
  <c r="L40" i="34"/>
  <c r="L41" i="34"/>
  <c r="L42" i="34"/>
  <c r="L43" i="34"/>
  <c r="L44" i="34"/>
  <c r="L45" i="34"/>
  <c r="L46" i="34"/>
  <c r="L47" i="34"/>
  <c r="L48" i="34"/>
  <c r="L49" i="34"/>
  <c r="K40" i="34"/>
  <c r="K41" i="34"/>
  <c r="K42" i="34"/>
  <c r="K43" i="34"/>
  <c r="K44" i="34"/>
  <c r="K45" i="34"/>
  <c r="K46" i="34"/>
  <c r="K47" i="34"/>
  <c r="K48" i="34"/>
  <c r="K49" i="34"/>
  <c r="J40" i="34"/>
  <c r="J41" i="34"/>
  <c r="J42" i="34"/>
  <c r="J43" i="34"/>
  <c r="J44" i="34"/>
  <c r="J45" i="34"/>
  <c r="J46" i="34"/>
  <c r="J47" i="34"/>
  <c r="J48" i="34"/>
  <c r="J49" i="34"/>
  <c r="I40" i="34"/>
  <c r="I41" i="34"/>
  <c r="I42" i="34"/>
  <c r="I43" i="34"/>
  <c r="I44" i="34"/>
  <c r="I45" i="34"/>
  <c r="I46" i="34"/>
  <c r="I47" i="34"/>
  <c r="I48" i="34"/>
  <c r="I49" i="34"/>
  <c r="H40" i="34"/>
  <c r="H41" i="34"/>
  <c r="H42" i="34"/>
  <c r="H43" i="34"/>
  <c r="H44" i="34"/>
  <c r="H45" i="34"/>
  <c r="H46" i="34"/>
  <c r="H47" i="34"/>
  <c r="H48" i="34"/>
  <c r="H49" i="34"/>
  <c r="G40" i="34"/>
  <c r="G41" i="34"/>
  <c r="G42" i="34"/>
  <c r="G43" i="34"/>
  <c r="G44" i="34"/>
  <c r="G45" i="34"/>
  <c r="G46" i="34"/>
  <c r="G47" i="34"/>
  <c r="G48" i="34"/>
  <c r="G49" i="34"/>
  <c r="F40" i="34"/>
  <c r="F41" i="34"/>
  <c r="F42" i="34"/>
  <c r="F43" i="34"/>
  <c r="F44" i="34"/>
  <c r="F45" i="34"/>
  <c r="F46" i="34"/>
  <c r="F47" i="34"/>
  <c r="F48" i="34"/>
  <c r="F49" i="34"/>
  <c r="E40" i="34"/>
  <c r="E41" i="34"/>
  <c r="E42" i="34"/>
  <c r="E43" i="34"/>
  <c r="E44" i="34"/>
  <c r="E45" i="34"/>
  <c r="E46" i="34"/>
  <c r="E47" i="34"/>
  <c r="E48" i="34"/>
  <c r="E49" i="34"/>
  <c r="D40" i="34"/>
  <c r="D41" i="34"/>
  <c r="D42" i="34"/>
  <c r="D43" i="34"/>
  <c r="D44" i="34"/>
  <c r="D45" i="34"/>
  <c r="D46" i="34"/>
  <c r="D47" i="34"/>
  <c r="D48" i="34"/>
  <c r="D49" i="34"/>
  <c r="C40" i="34"/>
  <c r="C41" i="34"/>
  <c r="C42" i="34"/>
  <c r="C43" i="34"/>
  <c r="C44" i="34"/>
  <c r="C45" i="34"/>
  <c r="C46" i="34"/>
  <c r="C47" i="34"/>
  <c r="C48" i="34"/>
  <c r="C49" i="34"/>
  <c r="B40" i="34"/>
  <c r="B41" i="34"/>
  <c r="B42" i="34"/>
  <c r="B43" i="34"/>
  <c r="B44" i="34"/>
  <c r="B45" i="34"/>
  <c r="B46" i="34"/>
  <c r="B47" i="34"/>
  <c r="B48" i="34"/>
  <c r="B49" i="34"/>
  <c r="Q6" i="34"/>
  <c r="Q7" i="34"/>
  <c r="Q8" i="34"/>
  <c r="Q9" i="34"/>
  <c r="Q10" i="34"/>
  <c r="Q11" i="34"/>
  <c r="Q12" i="34"/>
  <c r="Q13" i="34"/>
  <c r="Q14" i="34"/>
  <c r="Q15" i="34"/>
  <c r="P6" i="34"/>
  <c r="P7" i="34"/>
  <c r="P8" i="34"/>
  <c r="P9" i="34"/>
  <c r="P10" i="34"/>
  <c r="P11" i="34"/>
  <c r="P12" i="34"/>
  <c r="P13" i="34"/>
  <c r="P14" i="34"/>
  <c r="P15" i="34"/>
  <c r="O6" i="34"/>
  <c r="O7" i="34"/>
  <c r="O8" i="34"/>
  <c r="O9" i="34"/>
  <c r="O10" i="34"/>
  <c r="O11" i="34"/>
  <c r="O12" i="34"/>
  <c r="O13" i="34"/>
  <c r="O14" i="34"/>
  <c r="O15" i="34"/>
  <c r="N6" i="34"/>
  <c r="N7" i="34"/>
  <c r="N8" i="34"/>
  <c r="N9" i="34"/>
  <c r="N10" i="34"/>
  <c r="N11" i="34"/>
  <c r="N12" i="34"/>
  <c r="N13" i="34"/>
  <c r="N14" i="34"/>
  <c r="N15" i="34"/>
  <c r="M6" i="34"/>
  <c r="M7" i="34"/>
  <c r="M8" i="34"/>
  <c r="M9" i="34"/>
  <c r="M10" i="34"/>
  <c r="M11" i="34"/>
  <c r="M12" i="34"/>
  <c r="M13" i="34"/>
  <c r="M14" i="34"/>
  <c r="M15" i="34"/>
  <c r="L6" i="34"/>
  <c r="L7" i="34"/>
  <c r="L8" i="34"/>
  <c r="L9" i="34"/>
  <c r="L10" i="34"/>
  <c r="L11" i="34"/>
  <c r="L12" i="34"/>
  <c r="L13" i="34"/>
  <c r="L14" i="34"/>
  <c r="L15" i="34"/>
  <c r="K6" i="34"/>
  <c r="K7" i="34"/>
  <c r="K8" i="34"/>
  <c r="K9" i="34"/>
  <c r="K10" i="34"/>
  <c r="K11" i="34"/>
  <c r="K12" i="34"/>
  <c r="K13" i="34"/>
  <c r="K14" i="34"/>
  <c r="K15" i="34"/>
  <c r="J6" i="34"/>
  <c r="J7" i="34"/>
  <c r="J8" i="34"/>
  <c r="J9" i="34"/>
  <c r="J10" i="34"/>
  <c r="J11" i="34"/>
  <c r="J12" i="34"/>
  <c r="J13" i="34"/>
  <c r="J14" i="34"/>
  <c r="J15" i="34"/>
  <c r="I6" i="34"/>
  <c r="I7" i="34"/>
  <c r="I8" i="34"/>
  <c r="I9" i="34"/>
  <c r="I10" i="34"/>
  <c r="I11" i="34"/>
  <c r="I12" i="34"/>
  <c r="I13" i="34"/>
  <c r="I14" i="34"/>
  <c r="I15" i="34"/>
  <c r="H6" i="34"/>
  <c r="H7" i="34"/>
  <c r="H8" i="34"/>
  <c r="H9" i="34"/>
  <c r="H10" i="34"/>
  <c r="H11" i="34"/>
  <c r="H12" i="34"/>
  <c r="H13" i="34"/>
  <c r="H14" i="34"/>
  <c r="H15" i="34"/>
  <c r="G6" i="34"/>
  <c r="G7" i="34"/>
  <c r="G8" i="34"/>
  <c r="G9" i="34"/>
  <c r="G10" i="34"/>
  <c r="G11" i="34"/>
  <c r="G12" i="34"/>
  <c r="G13" i="34"/>
  <c r="G14" i="34"/>
  <c r="G15" i="34"/>
  <c r="F6" i="34"/>
  <c r="F7" i="34"/>
  <c r="F8" i="34"/>
  <c r="F9" i="34"/>
  <c r="F10" i="34"/>
  <c r="F11" i="34"/>
  <c r="F12" i="34"/>
  <c r="F13" i="34"/>
  <c r="F14" i="34"/>
  <c r="F15" i="34"/>
  <c r="E6" i="34"/>
  <c r="E7" i="34"/>
  <c r="E8" i="34"/>
  <c r="E9" i="34"/>
  <c r="E10" i="34"/>
  <c r="E11" i="34"/>
  <c r="E12" i="34"/>
  <c r="E13" i="34"/>
  <c r="E14" i="34"/>
  <c r="E15" i="34"/>
  <c r="D6" i="34"/>
  <c r="D7" i="34"/>
  <c r="D8" i="34"/>
  <c r="D9" i="34"/>
  <c r="D10" i="34"/>
  <c r="D11" i="34"/>
  <c r="D12" i="34"/>
  <c r="D13" i="34"/>
  <c r="D14" i="34"/>
  <c r="D15" i="34"/>
  <c r="C6" i="34"/>
  <c r="C7" i="34"/>
  <c r="C8" i="34"/>
  <c r="C9" i="34"/>
  <c r="C10" i="34"/>
  <c r="C11" i="34"/>
  <c r="C12" i="34"/>
  <c r="C13" i="34"/>
  <c r="C14" i="34"/>
  <c r="C15" i="34"/>
  <c r="B6" i="34"/>
  <c r="B7" i="34"/>
  <c r="B8" i="34"/>
  <c r="B9" i="34"/>
  <c r="B10" i="34"/>
  <c r="B11" i="34"/>
  <c r="B12" i="34"/>
  <c r="B13" i="34"/>
  <c r="B14" i="34"/>
  <c r="B15" i="34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AG6" i="35"/>
  <c r="AG7" i="35"/>
  <c r="AG8" i="35"/>
  <c r="AG9" i="35"/>
  <c r="AG10" i="35"/>
  <c r="AG11" i="35"/>
  <c r="AG12" i="35"/>
  <c r="AG13" i="35"/>
  <c r="AG14" i="35"/>
  <c r="AG15" i="35"/>
  <c r="AF6" i="35"/>
  <c r="AF7" i="35"/>
  <c r="AF8" i="35"/>
  <c r="AF9" i="35"/>
  <c r="AF10" i="35"/>
  <c r="AF11" i="35"/>
  <c r="AF12" i="35"/>
  <c r="AF13" i="35"/>
  <c r="AF14" i="35"/>
  <c r="AF15" i="35"/>
  <c r="AE6" i="35"/>
  <c r="AE7" i="35"/>
  <c r="AE8" i="35"/>
  <c r="AE9" i="35"/>
  <c r="AE10" i="35"/>
  <c r="AE11" i="35"/>
  <c r="AE12" i="35"/>
  <c r="AE13" i="35"/>
  <c r="AE14" i="35"/>
  <c r="AE15" i="35"/>
  <c r="AD6" i="35"/>
  <c r="AD7" i="35"/>
  <c r="AD8" i="35"/>
  <c r="AD9" i="35"/>
  <c r="AD10" i="35"/>
  <c r="AD11" i="35"/>
  <c r="AD12" i="35"/>
  <c r="AD13" i="35"/>
  <c r="AD14" i="35"/>
  <c r="AD15" i="35"/>
  <c r="AC6" i="35"/>
  <c r="AC7" i="35"/>
  <c r="AC8" i="35"/>
  <c r="AC9" i="35"/>
  <c r="AC10" i="35"/>
  <c r="AC11" i="35"/>
  <c r="AC12" i="35"/>
  <c r="AC13" i="35"/>
  <c r="AC14" i="35"/>
  <c r="AC15" i="35"/>
  <c r="AB6" i="35"/>
  <c r="AB7" i="35"/>
  <c r="AB8" i="35"/>
  <c r="AB9" i="35"/>
  <c r="AB10" i="35"/>
  <c r="AB11" i="35"/>
  <c r="AB12" i="35"/>
  <c r="AB13" i="35"/>
  <c r="AB14" i="35"/>
  <c r="AB15" i="35"/>
  <c r="AA6" i="35"/>
  <c r="AA7" i="35"/>
  <c r="AA8" i="35"/>
  <c r="AA9" i="35"/>
  <c r="AA10" i="35"/>
  <c r="AA11" i="35"/>
  <c r="AA12" i="35"/>
  <c r="AA13" i="35"/>
  <c r="AA14" i="35"/>
  <c r="AA15" i="35"/>
  <c r="Z6" i="35"/>
  <c r="Z7" i="35"/>
  <c r="Z8" i="35"/>
  <c r="Z9" i="35"/>
  <c r="Z10" i="35"/>
  <c r="Z11" i="35"/>
  <c r="Z12" i="35"/>
  <c r="Z13" i="35"/>
  <c r="Z14" i="35"/>
  <c r="Z15" i="35"/>
  <c r="Y6" i="35"/>
  <c r="Y7" i="35"/>
  <c r="Y8" i="35"/>
  <c r="Y9" i="35"/>
  <c r="Y10" i="35"/>
  <c r="Y11" i="35"/>
  <c r="Y12" i="35"/>
  <c r="Y13" i="35"/>
  <c r="Y14" i="35"/>
  <c r="Y15" i="35"/>
  <c r="X6" i="35"/>
  <c r="X7" i="35"/>
  <c r="X8" i="35"/>
  <c r="X9" i="35"/>
  <c r="X10" i="35"/>
  <c r="X11" i="35"/>
  <c r="X12" i="35"/>
  <c r="X13" i="35"/>
  <c r="X14" i="35"/>
  <c r="X15" i="35"/>
  <c r="W6" i="35"/>
  <c r="W7" i="35"/>
  <c r="W8" i="35"/>
  <c r="W9" i="35"/>
  <c r="W10" i="35"/>
  <c r="W11" i="35"/>
  <c r="W12" i="35"/>
  <c r="W13" i="35"/>
  <c r="W14" i="35"/>
  <c r="W15" i="35"/>
  <c r="V6" i="35"/>
  <c r="V7" i="35"/>
  <c r="V8" i="35"/>
  <c r="V9" i="35"/>
  <c r="V10" i="35"/>
  <c r="V11" i="35"/>
  <c r="V12" i="35"/>
  <c r="V13" i="35"/>
  <c r="V14" i="35"/>
  <c r="V15" i="35"/>
  <c r="U6" i="35"/>
  <c r="U7" i="35"/>
  <c r="U8" i="35"/>
  <c r="U9" i="35"/>
  <c r="U10" i="35"/>
  <c r="U11" i="35"/>
  <c r="U12" i="35"/>
  <c r="U13" i="35"/>
  <c r="U14" i="35"/>
  <c r="U15" i="35"/>
  <c r="T6" i="35"/>
  <c r="T7" i="35"/>
  <c r="T8" i="35"/>
  <c r="T9" i="35"/>
  <c r="T10" i="35"/>
  <c r="T11" i="35"/>
  <c r="T12" i="35"/>
  <c r="T13" i="35"/>
  <c r="T14" i="35"/>
  <c r="T15" i="35"/>
  <c r="S6" i="35"/>
  <c r="S7" i="35"/>
  <c r="S8" i="35"/>
  <c r="S9" i="35"/>
  <c r="S10" i="35"/>
  <c r="S11" i="35"/>
  <c r="S12" i="35"/>
  <c r="S13" i="35"/>
  <c r="S14" i="35"/>
  <c r="S15" i="35"/>
  <c r="R6" i="35"/>
  <c r="R7" i="35"/>
  <c r="R8" i="35"/>
  <c r="R9" i="35"/>
  <c r="R10" i="35"/>
  <c r="R11" i="35"/>
  <c r="R12" i="35"/>
  <c r="R13" i="35"/>
  <c r="R14" i="35"/>
  <c r="R15" i="35"/>
  <c r="Q6" i="35"/>
  <c r="Q7" i="35"/>
  <c r="Q8" i="35"/>
  <c r="Q9" i="35"/>
  <c r="Q10" i="35"/>
  <c r="Q11" i="35"/>
  <c r="Q12" i="35"/>
  <c r="Q13" i="35"/>
  <c r="Q14" i="35"/>
  <c r="Q15" i="35"/>
  <c r="P6" i="35"/>
  <c r="P7" i="35"/>
  <c r="P8" i="35"/>
  <c r="P9" i="35"/>
  <c r="P10" i="35"/>
  <c r="P11" i="35"/>
  <c r="P12" i="35"/>
  <c r="P13" i="35"/>
  <c r="P14" i="35"/>
  <c r="P15" i="35"/>
  <c r="O6" i="35"/>
  <c r="O7" i="35"/>
  <c r="O8" i="35"/>
  <c r="O9" i="35"/>
  <c r="O10" i="35"/>
  <c r="O11" i="35"/>
  <c r="O12" i="35"/>
  <c r="O13" i="35"/>
  <c r="O14" i="35"/>
  <c r="O15" i="35"/>
  <c r="N6" i="35"/>
  <c r="N7" i="35"/>
  <c r="N8" i="35"/>
  <c r="N9" i="35"/>
  <c r="N10" i="35"/>
  <c r="N11" i="35"/>
  <c r="N12" i="35"/>
  <c r="N13" i="35"/>
  <c r="N14" i="35"/>
  <c r="N15" i="35"/>
  <c r="M6" i="35"/>
  <c r="M7" i="35"/>
  <c r="M8" i="35"/>
  <c r="M9" i="35"/>
  <c r="M10" i="35"/>
  <c r="M11" i="35"/>
  <c r="M12" i="35"/>
  <c r="M13" i="35"/>
  <c r="M14" i="35"/>
  <c r="M15" i="35"/>
  <c r="L6" i="35"/>
  <c r="L7" i="35"/>
  <c r="L8" i="35"/>
  <c r="L9" i="35"/>
  <c r="L10" i="35"/>
  <c r="L11" i="35"/>
  <c r="L12" i="35"/>
  <c r="L13" i="35"/>
  <c r="L14" i="35"/>
  <c r="L15" i="35"/>
  <c r="K6" i="35"/>
  <c r="K7" i="35"/>
  <c r="K8" i="35"/>
  <c r="K9" i="35"/>
  <c r="K10" i="35"/>
  <c r="K11" i="35"/>
  <c r="K12" i="35"/>
  <c r="K13" i="35"/>
  <c r="K14" i="35"/>
  <c r="K15" i="35"/>
  <c r="J6" i="35"/>
  <c r="J7" i="35"/>
  <c r="J8" i="35"/>
  <c r="J9" i="35"/>
  <c r="J10" i="35"/>
  <c r="J11" i="35"/>
  <c r="J12" i="35"/>
  <c r="J13" i="35"/>
  <c r="J14" i="35"/>
  <c r="J15" i="35"/>
  <c r="I6" i="35"/>
  <c r="I7" i="35"/>
  <c r="I8" i="35"/>
  <c r="I9" i="35"/>
  <c r="I10" i="35"/>
  <c r="I11" i="35"/>
  <c r="I12" i="35"/>
  <c r="I13" i="35"/>
  <c r="I14" i="35"/>
  <c r="I15" i="35"/>
  <c r="H6" i="35"/>
  <c r="H7" i="35"/>
  <c r="H8" i="35"/>
  <c r="H9" i="35"/>
  <c r="H10" i="35"/>
  <c r="H11" i="35"/>
  <c r="H12" i="35"/>
  <c r="H13" i="35"/>
  <c r="H14" i="35"/>
  <c r="H15" i="35"/>
  <c r="G6" i="35"/>
  <c r="G7" i="35"/>
  <c r="G8" i="35"/>
  <c r="G9" i="35"/>
  <c r="G10" i="35"/>
  <c r="G11" i="35"/>
  <c r="G12" i="35"/>
  <c r="G13" i="35"/>
  <c r="G14" i="35"/>
  <c r="G15" i="35"/>
  <c r="F6" i="35"/>
  <c r="F7" i="35"/>
  <c r="F8" i="35"/>
  <c r="F9" i="35"/>
  <c r="F10" i="35"/>
  <c r="F11" i="35"/>
  <c r="F12" i="35"/>
  <c r="F13" i="35"/>
  <c r="F14" i="35"/>
  <c r="F15" i="35"/>
  <c r="E6" i="35"/>
  <c r="E7" i="35"/>
  <c r="E8" i="35"/>
  <c r="E9" i="35"/>
  <c r="E10" i="35"/>
  <c r="E11" i="35"/>
  <c r="E12" i="35"/>
  <c r="E13" i="35"/>
  <c r="E14" i="35"/>
  <c r="E15" i="35"/>
  <c r="D6" i="35"/>
  <c r="D7" i="35"/>
  <c r="D8" i="35"/>
  <c r="D9" i="35"/>
  <c r="D10" i="35"/>
  <c r="D11" i="35"/>
  <c r="D12" i="35"/>
  <c r="D13" i="35"/>
  <c r="D14" i="35"/>
  <c r="D15" i="35"/>
  <c r="C6" i="35"/>
  <c r="C7" i="35"/>
  <c r="C8" i="35"/>
  <c r="C9" i="35"/>
  <c r="C10" i="35"/>
  <c r="C11" i="35"/>
  <c r="C12" i="35"/>
  <c r="C13" i="35"/>
  <c r="C14" i="35"/>
  <c r="C15" i="35"/>
  <c r="B6" i="35"/>
  <c r="B7" i="35"/>
  <c r="B8" i="35"/>
  <c r="B9" i="35"/>
  <c r="B10" i="35"/>
  <c r="B11" i="35"/>
  <c r="B12" i="35"/>
  <c r="B13" i="35"/>
  <c r="B14" i="35"/>
  <c r="B15" i="35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I3" i="2"/>
  <c r="I4" i="2"/>
  <c r="I5" i="2"/>
  <c r="I6" i="2"/>
  <c r="I7" i="2"/>
  <c r="I8" i="2"/>
  <c r="I9" i="2"/>
  <c r="I10" i="2"/>
  <c r="I11" i="2"/>
  <c r="I12" i="2"/>
  <c r="G3" i="2"/>
  <c r="G4" i="2"/>
  <c r="G5" i="2"/>
  <c r="G6" i="2"/>
  <c r="G7" i="2"/>
  <c r="G8" i="2"/>
  <c r="G9" i="2"/>
  <c r="G10" i="2"/>
  <c r="G11" i="2"/>
  <c r="G12" i="2"/>
  <c r="H3" i="2"/>
  <c r="H4" i="2"/>
  <c r="H5" i="2"/>
  <c r="H6" i="2"/>
  <c r="H7" i="2"/>
  <c r="H8" i="2"/>
  <c r="H9" i="2"/>
  <c r="H10" i="2"/>
  <c r="H11" i="2"/>
  <c r="H12" i="2"/>
  <c r="F3" i="2"/>
  <c r="F4" i="2"/>
  <c r="F5" i="2"/>
  <c r="F6" i="2"/>
  <c r="F7" i="2"/>
  <c r="F8" i="2"/>
  <c r="F9" i="2"/>
  <c r="F10" i="2"/>
  <c r="F11" i="2"/>
  <c r="F12" i="2"/>
  <c r="E3" i="2"/>
  <c r="E4" i="2"/>
  <c r="E5" i="2"/>
  <c r="E6" i="2"/>
  <c r="E7" i="2"/>
  <c r="E8" i="2"/>
  <c r="E9" i="2"/>
  <c r="E10" i="2"/>
  <c r="E11" i="2"/>
  <c r="E1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D3" i="36"/>
  <c r="D4" i="36"/>
  <c r="D5" i="36"/>
  <c r="D6" i="36"/>
  <c r="D7" i="36"/>
  <c r="D8" i="36"/>
  <c r="D9" i="36"/>
  <c r="D10" i="36"/>
  <c r="D11" i="36"/>
  <c r="D12" i="36"/>
  <c r="D13" i="36"/>
  <c r="D17" i="36"/>
  <c r="I12" i="36"/>
  <c r="I3" i="36"/>
  <c r="I4" i="36"/>
  <c r="I5" i="36"/>
  <c r="I6" i="36"/>
  <c r="I7" i="36"/>
  <c r="I8" i="36"/>
  <c r="I9" i="36"/>
  <c r="I10" i="36"/>
  <c r="I11" i="36"/>
  <c r="I13" i="36"/>
  <c r="I26" i="36"/>
  <c r="H12" i="36"/>
  <c r="H3" i="36"/>
  <c r="H4" i="36"/>
  <c r="H5" i="36"/>
  <c r="H6" i="36"/>
  <c r="H7" i="36"/>
  <c r="H8" i="36"/>
  <c r="H9" i="36"/>
  <c r="H10" i="36"/>
  <c r="H11" i="36"/>
  <c r="H13" i="36"/>
  <c r="H26" i="36"/>
  <c r="G12" i="36"/>
  <c r="G3" i="36"/>
  <c r="G4" i="36"/>
  <c r="G5" i="36"/>
  <c r="G6" i="36"/>
  <c r="G7" i="36"/>
  <c r="G8" i="36"/>
  <c r="G9" i="36"/>
  <c r="G10" i="36"/>
  <c r="G11" i="36"/>
  <c r="G13" i="36"/>
  <c r="G26" i="36"/>
  <c r="F12" i="36"/>
  <c r="F3" i="36"/>
  <c r="F4" i="36"/>
  <c r="F5" i="36"/>
  <c r="F6" i="36"/>
  <c r="F7" i="36"/>
  <c r="F8" i="36"/>
  <c r="F9" i="36"/>
  <c r="F10" i="36"/>
  <c r="F11" i="36"/>
  <c r="F13" i="36"/>
  <c r="F26" i="36"/>
  <c r="E12" i="36"/>
  <c r="E3" i="36"/>
  <c r="E4" i="36"/>
  <c r="E5" i="36"/>
  <c r="E6" i="36"/>
  <c r="E7" i="36"/>
  <c r="E8" i="36"/>
  <c r="E9" i="36"/>
  <c r="E10" i="36"/>
  <c r="E11" i="36"/>
  <c r="E13" i="36"/>
  <c r="E26" i="36"/>
  <c r="D26" i="36"/>
  <c r="I25" i="36"/>
  <c r="H25" i="36"/>
  <c r="G25" i="36"/>
  <c r="F25" i="36"/>
  <c r="E25" i="36"/>
  <c r="D25" i="36"/>
  <c r="I24" i="36"/>
  <c r="H24" i="36"/>
  <c r="G24" i="36"/>
  <c r="F24" i="36"/>
  <c r="E24" i="36"/>
  <c r="D24" i="36"/>
  <c r="I23" i="36"/>
  <c r="H23" i="36"/>
  <c r="G23" i="36"/>
  <c r="F23" i="36"/>
  <c r="E23" i="36"/>
  <c r="D23" i="36"/>
  <c r="I22" i="36"/>
  <c r="H22" i="36"/>
  <c r="G22" i="36"/>
  <c r="F22" i="36"/>
  <c r="E22" i="36"/>
  <c r="D22" i="36"/>
  <c r="I21" i="36"/>
  <c r="H21" i="36"/>
  <c r="G21" i="36"/>
  <c r="F21" i="36"/>
  <c r="E21" i="36"/>
  <c r="D21" i="36"/>
  <c r="I20" i="36"/>
  <c r="H20" i="36"/>
  <c r="G20" i="36"/>
  <c r="F20" i="36"/>
  <c r="E20" i="36"/>
  <c r="D20" i="36"/>
  <c r="I19" i="36"/>
  <c r="H19" i="36"/>
  <c r="G19" i="36"/>
  <c r="F19" i="36"/>
  <c r="E19" i="36"/>
  <c r="D19" i="36"/>
  <c r="I18" i="36"/>
  <c r="H18" i="36"/>
  <c r="G18" i="36"/>
  <c r="F18" i="36"/>
  <c r="E18" i="36"/>
  <c r="D18" i="36"/>
  <c r="I17" i="36"/>
  <c r="H17" i="36"/>
  <c r="G17" i="36"/>
  <c r="F17" i="36"/>
  <c r="E17" i="36"/>
  <c r="C3" i="36"/>
  <c r="C4" i="36"/>
  <c r="C5" i="36"/>
  <c r="C6" i="36"/>
  <c r="C7" i="36"/>
  <c r="C8" i="36"/>
  <c r="C9" i="36"/>
  <c r="C10" i="36"/>
  <c r="C11" i="36"/>
  <c r="C12" i="36"/>
  <c r="B3" i="36"/>
  <c r="B4" i="36"/>
  <c r="B5" i="36"/>
  <c r="B6" i="36"/>
  <c r="B7" i="36"/>
  <c r="B8" i="36"/>
  <c r="B9" i="36"/>
  <c r="B10" i="36"/>
  <c r="B11" i="36"/>
  <c r="B12" i="36"/>
  <c r="C16" i="35"/>
  <c r="C20" i="35"/>
  <c r="D16" i="35"/>
  <c r="D20" i="35"/>
  <c r="E16" i="35"/>
  <c r="E20" i="35"/>
  <c r="F16" i="35"/>
  <c r="F20" i="35"/>
  <c r="G16" i="35"/>
  <c r="G20" i="35"/>
  <c r="H16" i="35"/>
  <c r="H20" i="35"/>
  <c r="I16" i="35"/>
  <c r="I20" i="35"/>
  <c r="J16" i="35"/>
  <c r="J20" i="35"/>
  <c r="K16" i="35"/>
  <c r="K20" i="35"/>
  <c r="L16" i="35"/>
  <c r="L20" i="35"/>
  <c r="M16" i="35"/>
  <c r="M20" i="35"/>
  <c r="N16" i="35"/>
  <c r="N20" i="35"/>
  <c r="O16" i="35"/>
  <c r="O20" i="35"/>
  <c r="P16" i="35"/>
  <c r="P20" i="35"/>
  <c r="Q16" i="35"/>
  <c r="Q20" i="35"/>
  <c r="R16" i="35"/>
  <c r="R20" i="35"/>
  <c r="S16" i="35"/>
  <c r="S20" i="35"/>
  <c r="T16" i="35"/>
  <c r="T20" i="35"/>
  <c r="U16" i="35"/>
  <c r="U20" i="35"/>
  <c r="V16" i="35"/>
  <c r="V20" i="35"/>
  <c r="W16" i="35"/>
  <c r="W20" i="35"/>
  <c r="X16" i="35"/>
  <c r="X20" i="35"/>
  <c r="Y16" i="35"/>
  <c r="Y20" i="35"/>
  <c r="Z16" i="35"/>
  <c r="Z20" i="35"/>
  <c r="AA16" i="35"/>
  <c r="AA20" i="35"/>
  <c r="AB16" i="35"/>
  <c r="AB20" i="35"/>
  <c r="AC16" i="35"/>
  <c r="AC20" i="35"/>
  <c r="AD16" i="35"/>
  <c r="AD20" i="35"/>
  <c r="AE16" i="35"/>
  <c r="AE20" i="35"/>
  <c r="AF16" i="35"/>
  <c r="AF20" i="35"/>
  <c r="AG16" i="35"/>
  <c r="AG20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AE26" i="35"/>
  <c r="AF26" i="35"/>
  <c r="AG26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AD27" i="35"/>
  <c r="AE27" i="35"/>
  <c r="AF27" i="35"/>
  <c r="AG27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AD28" i="35"/>
  <c r="AE28" i="35"/>
  <c r="AF28" i="35"/>
  <c r="AG28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AD29" i="35"/>
  <c r="AE29" i="35"/>
  <c r="AF29" i="35"/>
  <c r="AG29" i="35"/>
  <c r="B16" i="35"/>
  <c r="B29" i="35"/>
  <c r="B28" i="35"/>
  <c r="B27" i="35"/>
  <c r="B26" i="35"/>
  <c r="B25" i="35"/>
  <c r="B24" i="35"/>
  <c r="B23" i="35"/>
  <c r="B22" i="35"/>
  <c r="B21" i="35"/>
  <c r="B20" i="35"/>
  <c r="B50" i="34"/>
  <c r="B55" i="34"/>
  <c r="C84" i="34"/>
  <c r="C88" i="34"/>
  <c r="D84" i="34"/>
  <c r="D88" i="34"/>
  <c r="E84" i="34"/>
  <c r="E88" i="34"/>
  <c r="F84" i="34"/>
  <c r="F88" i="34"/>
  <c r="G84" i="34"/>
  <c r="G88" i="34"/>
  <c r="H84" i="34"/>
  <c r="H88" i="34"/>
  <c r="I84" i="34"/>
  <c r="I88" i="34"/>
  <c r="J84" i="34"/>
  <c r="J88" i="34"/>
  <c r="K84" i="34"/>
  <c r="K88" i="34"/>
  <c r="L84" i="34"/>
  <c r="L88" i="34"/>
  <c r="M84" i="34"/>
  <c r="M88" i="34"/>
  <c r="N84" i="34"/>
  <c r="N88" i="34"/>
  <c r="O84" i="34"/>
  <c r="O88" i="34"/>
  <c r="P84" i="34"/>
  <c r="P88" i="34"/>
  <c r="Q84" i="34"/>
  <c r="Q88" i="34"/>
  <c r="C89" i="34"/>
  <c r="D89" i="34"/>
  <c r="E89" i="34"/>
  <c r="F89" i="34"/>
  <c r="G89" i="34"/>
  <c r="H89" i="34"/>
  <c r="I89" i="34"/>
  <c r="J89" i="34"/>
  <c r="K89" i="34"/>
  <c r="L89" i="34"/>
  <c r="M89" i="34"/>
  <c r="N89" i="34"/>
  <c r="O89" i="34"/>
  <c r="P89" i="34"/>
  <c r="Q89" i="34"/>
  <c r="C90" i="34"/>
  <c r="D90" i="34"/>
  <c r="E90" i="34"/>
  <c r="F90" i="34"/>
  <c r="G90" i="34"/>
  <c r="H90" i="34"/>
  <c r="I90" i="34"/>
  <c r="J90" i="34"/>
  <c r="K90" i="34"/>
  <c r="L90" i="34"/>
  <c r="M90" i="34"/>
  <c r="N90" i="34"/>
  <c r="O90" i="34"/>
  <c r="P90" i="34"/>
  <c r="Q90" i="34"/>
  <c r="C91" i="34"/>
  <c r="D91" i="34"/>
  <c r="E91" i="34"/>
  <c r="F91" i="34"/>
  <c r="G91" i="34"/>
  <c r="H91" i="34"/>
  <c r="I91" i="34"/>
  <c r="J91" i="34"/>
  <c r="K91" i="34"/>
  <c r="L91" i="34"/>
  <c r="M91" i="34"/>
  <c r="N91" i="34"/>
  <c r="O91" i="34"/>
  <c r="P91" i="34"/>
  <c r="Q91" i="34"/>
  <c r="C92" i="34"/>
  <c r="D92" i="34"/>
  <c r="E92" i="34"/>
  <c r="F92" i="34"/>
  <c r="G92" i="34"/>
  <c r="H92" i="34"/>
  <c r="I92" i="34"/>
  <c r="J92" i="34"/>
  <c r="K92" i="34"/>
  <c r="L92" i="34"/>
  <c r="M92" i="34"/>
  <c r="N92" i="34"/>
  <c r="O92" i="34"/>
  <c r="P92" i="34"/>
  <c r="Q92" i="34"/>
  <c r="C93" i="34"/>
  <c r="D93" i="34"/>
  <c r="E93" i="34"/>
  <c r="F93" i="34"/>
  <c r="G93" i="34"/>
  <c r="H93" i="34"/>
  <c r="I93" i="34"/>
  <c r="J93" i="34"/>
  <c r="K93" i="34"/>
  <c r="L93" i="34"/>
  <c r="M93" i="34"/>
  <c r="N93" i="34"/>
  <c r="O93" i="34"/>
  <c r="P93" i="34"/>
  <c r="Q93" i="34"/>
  <c r="C94" i="34"/>
  <c r="D94" i="34"/>
  <c r="E94" i="34"/>
  <c r="F94" i="34"/>
  <c r="G94" i="34"/>
  <c r="H94" i="34"/>
  <c r="I94" i="34"/>
  <c r="J94" i="34"/>
  <c r="K94" i="34"/>
  <c r="L94" i="34"/>
  <c r="M94" i="34"/>
  <c r="N94" i="34"/>
  <c r="O94" i="34"/>
  <c r="P94" i="34"/>
  <c r="Q94" i="34"/>
  <c r="C95" i="34"/>
  <c r="D95" i="34"/>
  <c r="E95" i="34"/>
  <c r="F95" i="34"/>
  <c r="G95" i="34"/>
  <c r="H95" i="34"/>
  <c r="I95" i="34"/>
  <c r="J95" i="34"/>
  <c r="K95" i="34"/>
  <c r="L95" i="34"/>
  <c r="M95" i="34"/>
  <c r="N95" i="34"/>
  <c r="O95" i="34"/>
  <c r="P95" i="34"/>
  <c r="Q95" i="34"/>
  <c r="C96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C97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B84" i="34"/>
  <c r="B89" i="34"/>
  <c r="B90" i="34"/>
  <c r="B91" i="34"/>
  <c r="B92" i="34"/>
  <c r="B93" i="34"/>
  <c r="B94" i="34"/>
  <c r="B95" i="34"/>
  <c r="B96" i="34"/>
  <c r="B97" i="34"/>
  <c r="B88" i="34"/>
  <c r="C50" i="34"/>
  <c r="C54" i="34"/>
  <c r="D50" i="34"/>
  <c r="D54" i="34"/>
  <c r="E50" i="34"/>
  <c r="E54" i="34"/>
  <c r="F50" i="34"/>
  <c r="F54" i="34"/>
  <c r="G50" i="34"/>
  <c r="G54" i="34"/>
  <c r="H50" i="34"/>
  <c r="H54" i="34"/>
  <c r="I50" i="34"/>
  <c r="I54" i="34"/>
  <c r="J50" i="34"/>
  <c r="J54" i="34"/>
  <c r="K50" i="34"/>
  <c r="K54" i="34"/>
  <c r="L50" i="34"/>
  <c r="L54" i="34"/>
  <c r="M50" i="34"/>
  <c r="M54" i="34"/>
  <c r="N50" i="34"/>
  <c r="N54" i="34"/>
  <c r="O50" i="34"/>
  <c r="O54" i="34"/>
  <c r="P50" i="34"/>
  <c r="P54" i="34"/>
  <c r="Q50" i="34"/>
  <c r="Q54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Q59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Q61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Q63" i="34"/>
  <c r="B56" i="34"/>
  <c r="B57" i="34"/>
  <c r="B58" i="34"/>
  <c r="B59" i="34"/>
  <c r="B60" i="34"/>
  <c r="B61" i="34"/>
  <c r="B62" i="34"/>
  <c r="B63" i="34"/>
  <c r="B54" i="34"/>
  <c r="O16" i="34"/>
  <c r="H16" i="34"/>
  <c r="H20" i="34"/>
  <c r="I16" i="34"/>
  <c r="I20" i="34"/>
  <c r="J16" i="34"/>
  <c r="J20" i="34"/>
  <c r="K16" i="34"/>
  <c r="K20" i="34"/>
  <c r="L16" i="34"/>
  <c r="L20" i="34"/>
  <c r="M16" i="34"/>
  <c r="M20" i="34"/>
  <c r="N16" i="34"/>
  <c r="N20" i="34"/>
  <c r="O20" i="34"/>
  <c r="P16" i="34"/>
  <c r="P20" i="34"/>
  <c r="Q16" i="34"/>
  <c r="Q20" i="34"/>
  <c r="H21" i="34"/>
  <c r="I21" i="34"/>
  <c r="J21" i="34"/>
  <c r="K21" i="34"/>
  <c r="L21" i="34"/>
  <c r="M21" i="34"/>
  <c r="N21" i="34"/>
  <c r="O21" i="34"/>
  <c r="P21" i="34"/>
  <c r="Q21" i="34"/>
  <c r="H22" i="34"/>
  <c r="I22" i="34"/>
  <c r="J22" i="34"/>
  <c r="K22" i="34"/>
  <c r="L22" i="34"/>
  <c r="M22" i="34"/>
  <c r="N22" i="34"/>
  <c r="O22" i="34"/>
  <c r="P22" i="34"/>
  <c r="Q22" i="34"/>
  <c r="H23" i="34"/>
  <c r="I23" i="34"/>
  <c r="J23" i="34"/>
  <c r="K23" i="34"/>
  <c r="L23" i="34"/>
  <c r="M23" i="34"/>
  <c r="N23" i="34"/>
  <c r="O23" i="34"/>
  <c r="P23" i="34"/>
  <c r="Q23" i="34"/>
  <c r="H24" i="34"/>
  <c r="I24" i="34"/>
  <c r="J24" i="34"/>
  <c r="K24" i="34"/>
  <c r="L24" i="34"/>
  <c r="M24" i="34"/>
  <c r="N24" i="34"/>
  <c r="O24" i="34"/>
  <c r="P24" i="34"/>
  <c r="Q24" i="34"/>
  <c r="H25" i="34"/>
  <c r="I25" i="34"/>
  <c r="J25" i="34"/>
  <c r="K25" i="34"/>
  <c r="L25" i="34"/>
  <c r="M25" i="34"/>
  <c r="N25" i="34"/>
  <c r="O25" i="34"/>
  <c r="P25" i="34"/>
  <c r="Q25" i="34"/>
  <c r="H26" i="34"/>
  <c r="I26" i="34"/>
  <c r="J26" i="34"/>
  <c r="K26" i="34"/>
  <c r="L26" i="34"/>
  <c r="M26" i="34"/>
  <c r="N26" i="34"/>
  <c r="O26" i="34"/>
  <c r="P26" i="34"/>
  <c r="Q26" i="34"/>
  <c r="H27" i="34"/>
  <c r="I27" i="34"/>
  <c r="J27" i="34"/>
  <c r="K27" i="34"/>
  <c r="L27" i="34"/>
  <c r="M27" i="34"/>
  <c r="N27" i="34"/>
  <c r="O27" i="34"/>
  <c r="P27" i="34"/>
  <c r="Q27" i="34"/>
  <c r="H28" i="34"/>
  <c r="I28" i="34"/>
  <c r="J28" i="34"/>
  <c r="K28" i="34"/>
  <c r="L28" i="34"/>
  <c r="M28" i="34"/>
  <c r="N28" i="34"/>
  <c r="O28" i="34"/>
  <c r="P28" i="34"/>
  <c r="Q28" i="34"/>
  <c r="H29" i="34"/>
  <c r="I29" i="34"/>
  <c r="J29" i="34"/>
  <c r="K29" i="34"/>
  <c r="L29" i="34"/>
  <c r="M29" i="34"/>
  <c r="N29" i="34"/>
  <c r="O29" i="34"/>
  <c r="P29" i="34"/>
  <c r="Q29" i="34"/>
  <c r="G16" i="34"/>
  <c r="C16" i="34"/>
  <c r="C20" i="34"/>
  <c r="D16" i="34"/>
  <c r="D20" i="34"/>
  <c r="E16" i="34"/>
  <c r="E20" i="34"/>
  <c r="F16" i="34"/>
  <c r="F20" i="34"/>
  <c r="G20" i="34"/>
  <c r="C21" i="34"/>
  <c r="D21" i="34"/>
  <c r="E21" i="34"/>
  <c r="F21" i="34"/>
  <c r="G21" i="34"/>
  <c r="C22" i="34"/>
  <c r="D22" i="34"/>
  <c r="E22" i="34"/>
  <c r="F22" i="34"/>
  <c r="G22" i="34"/>
  <c r="C23" i="34"/>
  <c r="D23" i="34"/>
  <c r="E23" i="34"/>
  <c r="F23" i="34"/>
  <c r="G23" i="34"/>
  <c r="C24" i="34"/>
  <c r="D24" i="34"/>
  <c r="E24" i="34"/>
  <c r="F24" i="34"/>
  <c r="G24" i="34"/>
  <c r="C25" i="34"/>
  <c r="D25" i="34"/>
  <c r="E25" i="34"/>
  <c r="F25" i="34"/>
  <c r="G25" i="34"/>
  <c r="C26" i="34"/>
  <c r="D26" i="34"/>
  <c r="E26" i="34"/>
  <c r="F26" i="34"/>
  <c r="G26" i="34"/>
  <c r="C27" i="34"/>
  <c r="D27" i="34"/>
  <c r="E27" i="34"/>
  <c r="F27" i="34"/>
  <c r="G27" i="34"/>
  <c r="C28" i="34"/>
  <c r="D28" i="34"/>
  <c r="E28" i="34"/>
  <c r="F28" i="34"/>
  <c r="G28" i="34"/>
  <c r="C29" i="34"/>
  <c r="D29" i="34"/>
  <c r="E29" i="34"/>
  <c r="F29" i="34"/>
  <c r="G29" i="34"/>
  <c r="B16" i="34"/>
  <c r="B29" i="34"/>
  <c r="B28" i="34"/>
  <c r="B27" i="34"/>
  <c r="B26" i="34"/>
  <c r="B25" i="34"/>
  <c r="B24" i="34"/>
  <c r="B23" i="34"/>
  <c r="B22" i="34"/>
  <c r="B21" i="34"/>
  <c r="B20" i="34"/>
  <c r="P78" i="32"/>
  <c r="P83" i="32"/>
  <c r="C78" i="32"/>
  <c r="C82" i="32"/>
  <c r="D78" i="32"/>
  <c r="D82" i="32"/>
  <c r="E78" i="32"/>
  <c r="E82" i="32"/>
  <c r="F78" i="32"/>
  <c r="F82" i="32"/>
  <c r="G78" i="32"/>
  <c r="G82" i="32"/>
  <c r="H78" i="32"/>
  <c r="H82" i="32"/>
  <c r="I78" i="32"/>
  <c r="I82" i="32"/>
  <c r="J78" i="32"/>
  <c r="J82" i="32"/>
  <c r="K78" i="32"/>
  <c r="K82" i="32"/>
  <c r="L78" i="32"/>
  <c r="L82" i="32"/>
  <c r="M78" i="32"/>
  <c r="M82" i="32"/>
  <c r="N78" i="32"/>
  <c r="N82" i="32"/>
  <c r="O78" i="32"/>
  <c r="O82" i="32"/>
  <c r="P82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O85" i="32"/>
  <c r="P85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O86" i="32"/>
  <c r="P86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O87" i="32"/>
  <c r="P87" i="32"/>
  <c r="C88" i="32"/>
  <c r="D88" i="32"/>
  <c r="E88" i="32"/>
  <c r="F88" i="32"/>
  <c r="G88" i="32"/>
  <c r="H88" i="32"/>
  <c r="I88" i="32"/>
  <c r="J88" i="32"/>
  <c r="K88" i="32"/>
  <c r="L88" i="32"/>
  <c r="M88" i="32"/>
  <c r="N88" i="32"/>
  <c r="O88" i="32"/>
  <c r="P88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O89" i="32"/>
  <c r="P89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O90" i="32"/>
  <c r="P90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O91" i="32"/>
  <c r="P91" i="32"/>
  <c r="B78" i="32"/>
  <c r="B83" i="32"/>
  <c r="B84" i="32"/>
  <c r="B85" i="32"/>
  <c r="B86" i="32"/>
  <c r="B87" i="32"/>
  <c r="B88" i="32"/>
  <c r="B89" i="32"/>
  <c r="B90" i="32"/>
  <c r="B91" i="32"/>
  <c r="B82" i="32"/>
  <c r="B83" i="31"/>
  <c r="C83" i="31"/>
  <c r="C91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B85" i="31"/>
  <c r="C85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B86" i="31"/>
  <c r="C86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B87" i="31"/>
  <c r="C87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B88" i="31"/>
  <c r="C88" i="31"/>
  <c r="D88" i="31"/>
  <c r="E88" i="31"/>
  <c r="F88" i="31"/>
  <c r="G88" i="31"/>
  <c r="H88" i="31"/>
  <c r="I88" i="31"/>
  <c r="J88" i="31"/>
  <c r="K88" i="31"/>
  <c r="L88" i="31"/>
  <c r="M88" i="31"/>
  <c r="N88" i="31"/>
  <c r="O88" i="31"/>
  <c r="P88" i="31"/>
  <c r="B89" i="31"/>
  <c r="C89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B90" i="31"/>
  <c r="C90" i="31"/>
  <c r="D90" i="31"/>
  <c r="E90" i="31"/>
  <c r="F90" i="31"/>
  <c r="G90" i="31"/>
  <c r="H90" i="31"/>
  <c r="I90" i="31"/>
  <c r="J90" i="31"/>
  <c r="K90" i="31"/>
  <c r="L90" i="31"/>
  <c r="M90" i="31"/>
  <c r="N90" i="31"/>
  <c r="O90" i="31"/>
  <c r="P90" i="31"/>
  <c r="B91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B82" i="31"/>
  <c r="P13" i="32"/>
  <c r="P26" i="32"/>
  <c r="O13" i="32"/>
  <c r="O26" i="32"/>
  <c r="N13" i="32"/>
  <c r="N26" i="32"/>
  <c r="M13" i="32"/>
  <c r="M26" i="32"/>
  <c r="L13" i="32"/>
  <c r="L26" i="32"/>
  <c r="K13" i="32"/>
  <c r="K26" i="32"/>
  <c r="J13" i="32"/>
  <c r="J26" i="32"/>
  <c r="I13" i="32"/>
  <c r="I26" i="32"/>
  <c r="H13" i="32"/>
  <c r="H26" i="32"/>
  <c r="G13" i="32"/>
  <c r="G26" i="32"/>
  <c r="F13" i="32"/>
  <c r="F26" i="32"/>
  <c r="E13" i="32"/>
  <c r="E26" i="32"/>
  <c r="D13" i="32"/>
  <c r="D26" i="32"/>
  <c r="C13" i="32"/>
  <c r="C26" i="32"/>
  <c r="B13" i="32"/>
  <c r="B26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B22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D13" i="2"/>
  <c r="D17" i="2"/>
  <c r="E13" i="2"/>
  <c r="E17" i="2"/>
  <c r="F13" i="2"/>
  <c r="F17" i="2"/>
  <c r="G13" i="2"/>
  <c r="G17" i="2"/>
  <c r="H13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41" i="2"/>
  <c r="D45" i="2"/>
  <c r="E41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69" i="2"/>
  <c r="E69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97" i="2"/>
  <c r="D101" i="2"/>
  <c r="E97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C1" i="14"/>
  <c r="D1" i="14"/>
  <c r="F255" i="14"/>
  <c r="L255" i="14"/>
  <c r="E255" i="14"/>
  <c r="K255" i="14"/>
  <c r="F254" i="14"/>
  <c r="L254" i="14"/>
  <c r="E254" i="14"/>
  <c r="K254" i="14"/>
  <c r="F253" i="14"/>
  <c r="L253" i="14"/>
  <c r="E253" i="14"/>
  <c r="K253" i="14"/>
  <c r="F252" i="14"/>
  <c r="L252" i="14"/>
  <c r="E252" i="14"/>
  <c r="K252" i="14"/>
  <c r="F251" i="14"/>
  <c r="L251" i="14"/>
  <c r="E251" i="14"/>
  <c r="K251" i="14"/>
  <c r="F250" i="14"/>
  <c r="L250" i="14"/>
  <c r="E250" i="14"/>
  <c r="K250" i="14"/>
  <c r="F249" i="14"/>
  <c r="L249" i="14"/>
  <c r="E249" i="14"/>
  <c r="K249" i="14"/>
  <c r="F248" i="14"/>
  <c r="L248" i="14"/>
  <c r="E248" i="14"/>
  <c r="K248" i="14"/>
  <c r="F247" i="14"/>
  <c r="L247" i="14"/>
  <c r="E247" i="14"/>
  <c r="K247" i="14"/>
  <c r="F246" i="14"/>
  <c r="L246" i="14"/>
  <c r="E246" i="14"/>
  <c r="K246" i="14"/>
  <c r="F245" i="14"/>
  <c r="L245" i="14"/>
  <c r="E245" i="14"/>
  <c r="K245" i="14"/>
  <c r="F244" i="14"/>
  <c r="L244" i="14"/>
  <c r="E244" i="14"/>
  <c r="K244" i="14"/>
  <c r="F243" i="14"/>
  <c r="L243" i="14"/>
  <c r="E243" i="14"/>
  <c r="K243" i="14"/>
  <c r="F242" i="14"/>
  <c r="L242" i="14"/>
  <c r="E242" i="14"/>
  <c r="K242" i="14"/>
  <c r="F241" i="14"/>
  <c r="L241" i="14"/>
  <c r="E241" i="14"/>
  <c r="K241" i="14"/>
  <c r="F240" i="14"/>
  <c r="L240" i="14"/>
  <c r="E240" i="14"/>
  <c r="K240" i="14"/>
  <c r="F239" i="14"/>
  <c r="L239" i="14"/>
  <c r="E239" i="14"/>
  <c r="K239" i="14"/>
  <c r="F238" i="14"/>
  <c r="L238" i="14"/>
  <c r="E238" i="14"/>
  <c r="K238" i="14"/>
  <c r="F237" i="14"/>
  <c r="L237" i="14"/>
  <c r="E237" i="14"/>
  <c r="K237" i="14"/>
  <c r="F236" i="14"/>
  <c r="L236" i="14"/>
  <c r="E236" i="14"/>
  <c r="K236" i="14"/>
  <c r="F235" i="14"/>
  <c r="L235" i="14"/>
  <c r="E235" i="14"/>
  <c r="K235" i="14"/>
  <c r="F234" i="14"/>
  <c r="L234" i="14"/>
  <c r="E234" i="14"/>
  <c r="K234" i="14"/>
  <c r="F233" i="14"/>
  <c r="L233" i="14"/>
  <c r="E233" i="14"/>
  <c r="K233" i="14"/>
  <c r="F232" i="14"/>
  <c r="L232" i="14"/>
  <c r="E232" i="14"/>
  <c r="K232" i="14"/>
  <c r="F231" i="14"/>
  <c r="L231" i="14"/>
  <c r="E231" i="14"/>
  <c r="K231" i="14"/>
  <c r="F230" i="14"/>
  <c r="L230" i="14"/>
  <c r="E230" i="14"/>
  <c r="K230" i="14"/>
  <c r="F229" i="14"/>
  <c r="L229" i="14"/>
  <c r="E229" i="14"/>
  <c r="K229" i="14"/>
  <c r="F228" i="14"/>
  <c r="L228" i="14"/>
  <c r="E228" i="14"/>
  <c r="K228" i="14"/>
  <c r="F227" i="14"/>
  <c r="L227" i="14"/>
  <c r="E227" i="14"/>
  <c r="K227" i="14"/>
  <c r="F226" i="14"/>
  <c r="L226" i="14"/>
  <c r="E226" i="14"/>
  <c r="K226" i="14"/>
  <c r="F225" i="14"/>
  <c r="L225" i="14"/>
  <c r="E225" i="14"/>
  <c r="K225" i="14"/>
  <c r="F224" i="14"/>
  <c r="L224" i="14"/>
  <c r="E224" i="14"/>
  <c r="K224" i="14"/>
  <c r="F223" i="14"/>
  <c r="L223" i="14"/>
  <c r="E223" i="14"/>
  <c r="K223" i="14"/>
  <c r="F222" i="14"/>
  <c r="L222" i="14"/>
  <c r="E222" i="14"/>
  <c r="K222" i="14"/>
  <c r="F221" i="14"/>
  <c r="L221" i="14"/>
  <c r="E221" i="14"/>
  <c r="K221" i="14"/>
  <c r="F220" i="14"/>
  <c r="L220" i="14"/>
  <c r="E220" i="14"/>
  <c r="K220" i="14"/>
  <c r="F219" i="14"/>
  <c r="L219" i="14"/>
  <c r="E219" i="14"/>
  <c r="K219" i="14"/>
  <c r="F218" i="14"/>
  <c r="L218" i="14"/>
  <c r="E218" i="14"/>
  <c r="K218" i="14"/>
  <c r="F217" i="14"/>
  <c r="L217" i="14"/>
  <c r="E217" i="14"/>
  <c r="K217" i="14"/>
  <c r="F216" i="14"/>
  <c r="L216" i="14"/>
  <c r="E216" i="14"/>
  <c r="K216" i="14"/>
  <c r="F215" i="14"/>
  <c r="L215" i="14"/>
  <c r="E215" i="14"/>
  <c r="K215" i="14"/>
  <c r="F214" i="14"/>
  <c r="L214" i="14"/>
  <c r="E214" i="14"/>
  <c r="K214" i="14"/>
  <c r="F213" i="14"/>
  <c r="L213" i="14"/>
  <c r="E213" i="14"/>
  <c r="K213" i="14"/>
  <c r="F212" i="14"/>
  <c r="L212" i="14"/>
  <c r="E212" i="14"/>
  <c r="K212" i="14"/>
  <c r="F211" i="14"/>
  <c r="L211" i="14"/>
  <c r="E211" i="14"/>
  <c r="K211" i="14"/>
  <c r="F210" i="14"/>
  <c r="L210" i="14"/>
  <c r="E210" i="14"/>
  <c r="K210" i="14"/>
  <c r="F209" i="14"/>
  <c r="L209" i="14"/>
  <c r="E209" i="14"/>
  <c r="K209" i="14"/>
  <c r="F208" i="14"/>
  <c r="L208" i="14"/>
  <c r="E208" i="14"/>
  <c r="K208" i="14"/>
  <c r="F207" i="14"/>
  <c r="L207" i="14"/>
  <c r="E207" i="14"/>
  <c r="K207" i="14"/>
  <c r="F206" i="14"/>
  <c r="L206" i="14"/>
  <c r="E206" i="14"/>
  <c r="K206" i="14"/>
  <c r="F205" i="14"/>
  <c r="L205" i="14"/>
  <c r="E205" i="14"/>
  <c r="K205" i="14"/>
  <c r="F204" i="14"/>
  <c r="L204" i="14"/>
  <c r="E204" i="14"/>
  <c r="K204" i="14"/>
  <c r="F203" i="14"/>
  <c r="L203" i="14"/>
  <c r="E203" i="14"/>
  <c r="K203" i="14"/>
  <c r="F202" i="14"/>
  <c r="L202" i="14"/>
  <c r="E202" i="14"/>
  <c r="K202" i="14"/>
  <c r="F201" i="14"/>
  <c r="L201" i="14"/>
  <c r="E201" i="14"/>
  <c r="K201" i="14"/>
  <c r="F200" i="14"/>
  <c r="L200" i="14"/>
  <c r="E200" i="14"/>
  <c r="K200" i="14"/>
  <c r="F199" i="14"/>
  <c r="L199" i="14"/>
  <c r="E199" i="14"/>
  <c r="K199" i="14"/>
  <c r="F198" i="14"/>
  <c r="L198" i="14"/>
  <c r="E198" i="14"/>
  <c r="K198" i="14"/>
  <c r="F197" i="14"/>
  <c r="L197" i="14"/>
  <c r="E197" i="14"/>
  <c r="K197" i="14"/>
  <c r="F196" i="14"/>
  <c r="L196" i="14"/>
  <c r="E196" i="14"/>
  <c r="K196" i="14"/>
  <c r="F195" i="14"/>
  <c r="L195" i="14"/>
  <c r="E195" i="14"/>
  <c r="K195" i="14"/>
  <c r="F194" i="14"/>
  <c r="L194" i="14"/>
  <c r="E194" i="14"/>
  <c r="K194" i="14"/>
  <c r="F193" i="14"/>
  <c r="L193" i="14"/>
  <c r="E193" i="14"/>
  <c r="K193" i="14"/>
  <c r="F192" i="14"/>
  <c r="L192" i="14"/>
  <c r="E192" i="14"/>
  <c r="K192" i="14"/>
  <c r="F191" i="14"/>
  <c r="L191" i="14"/>
  <c r="E191" i="14"/>
  <c r="K191" i="14"/>
  <c r="F190" i="14"/>
  <c r="L190" i="14"/>
  <c r="E190" i="14"/>
  <c r="K190" i="14"/>
  <c r="F189" i="14"/>
  <c r="L189" i="14"/>
  <c r="E189" i="14"/>
  <c r="K189" i="14"/>
  <c r="F188" i="14"/>
  <c r="L188" i="14"/>
  <c r="E188" i="14"/>
  <c r="K188" i="14"/>
  <c r="F187" i="14"/>
  <c r="L187" i="14"/>
  <c r="E187" i="14"/>
  <c r="K187" i="14"/>
  <c r="F186" i="14"/>
  <c r="L186" i="14"/>
  <c r="E186" i="14"/>
  <c r="K186" i="14"/>
  <c r="F185" i="14"/>
  <c r="L185" i="14"/>
  <c r="E185" i="14"/>
  <c r="K185" i="14"/>
  <c r="F184" i="14"/>
  <c r="L184" i="14"/>
  <c r="E184" i="14"/>
  <c r="K184" i="14"/>
  <c r="F183" i="14"/>
  <c r="L183" i="14"/>
  <c r="E183" i="14"/>
  <c r="K183" i="14"/>
  <c r="F182" i="14"/>
  <c r="L182" i="14"/>
  <c r="E182" i="14"/>
  <c r="K182" i="14"/>
  <c r="F181" i="14"/>
  <c r="L181" i="14"/>
  <c r="E181" i="14"/>
  <c r="K181" i="14"/>
  <c r="F180" i="14"/>
  <c r="L180" i="14"/>
  <c r="E180" i="14"/>
  <c r="K180" i="14"/>
  <c r="F179" i="14"/>
  <c r="L179" i="14"/>
  <c r="E179" i="14"/>
  <c r="K179" i="14"/>
  <c r="F178" i="14"/>
  <c r="L178" i="14"/>
  <c r="E178" i="14"/>
  <c r="K178" i="14"/>
  <c r="F177" i="14"/>
  <c r="L177" i="14"/>
  <c r="E177" i="14"/>
  <c r="K177" i="14"/>
  <c r="F176" i="14"/>
  <c r="L176" i="14"/>
  <c r="E176" i="14"/>
  <c r="K176" i="14"/>
  <c r="F175" i="14"/>
  <c r="L175" i="14"/>
  <c r="E175" i="14"/>
  <c r="K175" i="14"/>
  <c r="F174" i="14"/>
  <c r="L174" i="14"/>
  <c r="E174" i="14"/>
  <c r="K174" i="14"/>
  <c r="F173" i="14"/>
  <c r="L173" i="14"/>
  <c r="E173" i="14"/>
  <c r="K173" i="14"/>
  <c r="F172" i="14"/>
  <c r="L172" i="14"/>
  <c r="E172" i="14"/>
  <c r="K172" i="14"/>
  <c r="F171" i="14"/>
  <c r="L171" i="14"/>
  <c r="E171" i="14"/>
  <c r="K171" i="14"/>
  <c r="F170" i="14"/>
  <c r="L170" i="14"/>
  <c r="E170" i="14"/>
  <c r="K170" i="14"/>
  <c r="F169" i="14"/>
  <c r="L169" i="14"/>
  <c r="E169" i="14"/>
  <c r="K169" i="14"/>
  <c r="F168" i="14"/>
  <c r="L168" i="14"/>
  <c r="E168" i="14"/>
  <c r="K168" i="14"/>
  <c r="F167" i="14"/>
  <c r="L167" i="14"/>
  <c r="E167" i="14"/>
  <c r="K167" i="14"/>
  <c r="F166" i="14"/>
  <c r="L166" i="14"/>
  <c r="E166" i="14"/>
  <c r="K166" i="14"/>
  <c r="F165" i="14"/>
  <c r="L165" i="14"/>
  <c r="E165" i="14"/>
  <c r="K165" i="14"/>
  <c r="F164" i="14"/>
  <c r="L164" i="14"/>
  <c r="E164" i="14"/>
  <c r="K164" i="14"/>
  <c r="F163" i="14"/>
  <c r="L163" i="14"/>
  <c r="E163" i="14"/>
  <c r="K163" i="14"/>
  <c r="F162" i="14"/>
  <c r="L162" i="14"/>
  <c r="E162" i="14"/>
  <c r="K162" i="14"/>
  <c r="F161" i="14"/>
  <c r="L161" i="14"/>
  <c r="E161" i="14"/>
  <c r="K161" i="14"/>
  <c r="F160" i="14"/>
  <c r="L160" i="14"/>
  <c r="E160" i="14"/>
  <c r="K160" i="14"/>
  <c r="F159" i="14"/>
  <c r="L159" i="14"/>
  <c r="E159" i="14"/>
  <c r="K159" i="14"/>
  <c r="F158" i="14"/>
  <c r="L158" i="14"/>
  <c r="E158" i="14"/>
  <c r="K158" i="14"/>
  <c r="F157" i="14"/>
  <c r="L157" i="14"/>
  <c r="E157" i="14"/>
  <c r="K157" i="14"/>
  <c r="F156" i="14"/>
  <c r="L156" i="14"/>
  <c r="E156" i="14"/>
  <c r="K156" i="14"/>
  <c r="F155" i="14"/>
  <c r="L155" i="14"/>
  <c r="E155" i="14"/>
  <c r="K155" i="14"/>
  <c r="F154" i="14"/>
  <c r="L154" i="14"/>
  <c r="E154" i="14"/>
  <c r="K154" i="14"/>
  <c r="F153" i="14"/>
  <c r="L153" i="14"/>
  <c r="E153" i="14"/>
  <c r="K153" i="14"/>
  <c r="F152" i="14"/>
  <c r="L152" i="14"/>
  <c r="E152" i="14"/>
  <c r="K152" i="14"/>
  <c r="F151" i="14"/>
  <c r="L151" i="14"/>
  <c r="E151" i="14"/>
  <c r="K151" i="14"/>
  <c r="F150" i="14"/>
  <c r="L150" i="14"/>
  <c r="E150" i="14"/>
  <c r="K150" i="14"/>
  <c r="F149" i="14"/>
  <c r="L149" i="14"/>
  <c r="E149" i="14"/>
  <c r="K149" i="14"/>
  <c r="F148" i="14"/>
  <c r="L148" i="14"/>
  <c r="E148" i="14"/>
  <c r="K148" i="14"/>
  <c r="F147" i="14"/>
  <c r="L147" i="14"/>
  <c r="E147" i="14"/>
  <c r="K147" i="14"/>
  <c r="F146" i="14"/>
  <c r="L146" i="14"/>
  <c r="E146" i="14"/>
  <c r="K146" i="14"/>
  <c r="F145" i="14"/>
  <c r="L145" i="14"/>
  <c r="E145" i="14"/>
  <c r="K145" i="14"/>
  <c r="F144" i="14"/>
  <c r="L144" i="14"/>
  <c r="E144" i="14"/>
  <c r="K144" i="14"/>
  <c r="F143" i="14"/>
  <c r="L143" i="14"/>
  <c r="E143" i="14"/>
  <c r="K143" i="14"/>
  <c r="F142" i="14"/>
  <c r="L142" i="14"/>
  <c r="E142" i="14"/>
  <c r="K142" i="14"/>
  <c r="F141" i="14"/>
  <c r="L141" i="14"/>
  <c r="E141" i="14"/>
  <c r="K141" i="14"/>
  <c r="F140" i="14"/>
  <c r="L140" i="14"/>
  <c r="E140" i="14"/>
  <c r="K140" i="14"/>
  <c r="F139" i="14"/>
  <c r="L139" i="14"/>
  <c r="E139" i="14"/>
  <c r="K139" i="14"/>
  <c r="F138" i="14"/>
  <c r="L138" i="14"/>
  <c r="E138" i="14"/>
  <c r="K138" i="14"/>
  <c r="F137" i="14"/>
  <c r="L137" i="14"/>
  <c r="E137" i="14"/>
  <c r="K137" i="14"/>
  <c r="F136" i="14"/>
  <c r="L136" i="14"/>
  <c r="E136" i="14"/>
  <c r="K136" i="14"/>
  <c r="F135" i="14"/>
  <c r="L135" i="14"/>
  <c r="E135" i="14"/>
  <c r="K135" i="14"/>
  <c r="F134" i="14"/>
  <c r="L134" i="14"/>
  <c r="E134" i="14"/>
  <c r="K134" i="14"/>
  <c r="F133" i="14"/>
  <c r="L133" i="14"/>
  <c r="E133" i="14"/>
  <c r="K133" i="14"/>
  <c r="F132" i="14"/>
  <c r="L132" i="14"/>
  <c r="E132" i="14"/>
  <c r="K132" i="14"/>
  <c r="F131" i="14"/>
  <c r="L131" i="14"/>
  <c r="E131" i="14"/>
  <c r="K131" i="14"/>
  <c r="F130" i="14"/>
  <c r="L130" i="14"/>
  <c r="E130" i="14"/>
  <c r="K130" i="14"/>
  <c r="S129" i="14"/>
  <c r="R129" i="14"/>
  <c r="Q129" i="14"/>
  <c r="P129" i="14"/>
  <c r="F129" i="14"/>
  <c r="L129" i="14"/>
  <c r="E129" i="14"/>
  <c r="K129" i="14"/>
  <c r="S128" i="14"/>
  <c r="R128" i="14"/>
  <c r="Q128" i="14"/>
  <c r="P128" i="14"/>
  <c r="F128" i="14"/>
  <c r="L128" i="14"/>
  <c r="E128" i="14"/>
  <c r="K128" i="14"/>
  <c r="S127" i="14"/>
  <c r="R127" i="14"/>
  <c r="Q127" i="14"/>
  <c r="P127" i="14"/>
  <c r="F127" i="14"/>
  <c r="L127" i="14"/>
  <c r="E127" i="14"/>
  <c r="K127" i="14"/>
  <c r="S126" i="14"/>
  <c r="R126" i="14"/>
  <c r="Q126" i="14"/>
  <c r="P126" i="14"/>
  <c r="F126" i="14"/>
  <c r="L126" i="14"/>
  <c r="E126" i="14"/>
  <c r="K126" i="14"/>
  <c r="S125" i="14"/>
  <c r="R125" i="14"/>
  <c r="Q125" i="14"/>
  <c r="P125" i="14"/>
  <c r="F125" i="14"/>
  <c r="L125" i="14"/>
  <c r="E125" i="14"/>
  <c r="K125" i="14"/>
  <c r="S124" i="14"/>
  <c r="R124" i="14"/>
  <c r="Q124" i="14"/>
  <c r="P124" i="14"/>
  <c r="F124" i="14"/>
  <c r="L124" i="14"/>
  <c r="E124" i="14"/>
  <c r="K124" i="14"/>
  <c r="S123" i="14"/>
  <c r="R123" i="14"/>
  <c r="Q123" i="14"/>
  <c r="P123" i="14"/>
  <c r="F123" i="14"/>
  <c r="L123" i="14"/>
  <c r="E123" i="14"/>
  <c r="K123" i="14"/>
  <c r="S122" i="14"/>
  <c r="R122" i="14"/>
  <c r="Q122" i="14"/>
  <c r="P122" i="14"/>
  <c r="F122" i="14"/>
  <c r="L122" i="14"/>
  <c r="E122" i="14"/>
  <c r="K122" i="14"/>
  <c r="S121" i="14"/>
  <c r="R121" i="14"/>
  <c r="Q121" i="14"/>
  <c r="P121" i="14"/>
  <c r="F121" i="14"/>
  <c r="L121" i="14"/>
  <c r="E121" i="14"/>
  <c r="K121" i="14"/>
  <c r="S120" i="14"/>
  <c r="R120" i="14"/>
  <c r="Q120" i="14"/>
  <c r="P120" i="14"/>
  <c r="F120" i="14"/>
  <c r="L120" i="14"/>
  <c r="E120" i="14"/>
  <c r="K120" i="14"/>
  <c r="S119" i="14"/>
  <c r="R119" i="14"/>
  <c r="Q119" i="14"/>
  <c r="P119" i="14"/>
  <c r="F119" i="14"/>
  <c r="L119" i="14"/>
  <c r="E119" i="14"/>
  <c r="K119" i="14"/>
  <c r="S118" i="14"/>
  <c r="R118" i="14"/>
  <c r="Q118" i="14"/>
  <c r="P118" i="14"/>
  <c r="F118" i="14"/>
  <c r="L118" i="14"/>
  <c r="E118" i="14"/>
  <c r="K118" i="14"/>
  <c r="S117" i="14"/>
  <c r="R117" i="14"/>
  <c r="Q117" i="14"/>
  <c r="P117" i="14"/>
  <c r="F117" i="14"/>
  <c r="L117" i="14"/>
  <c r="E117" i="14"/>
  <c r="K117" i="14"/>
  <c r="S116" i="14"/>
  <c r="R116" i="14"/>
  <c r="Q116" i="14"/>
  <c r="P116" i="14"/>
  <c r="F116" i="14"/>
  <c r="L116" i="14"/>
  <c r="E116" i="14"/>
  <c r="K116" i="14"/>
  <c r="S115" i="14"/>
  <c r="R115" i="14"/>
  <c r="Q115" i="14"/>
  <c r="P115" i="14"/>
  <c r="F115" i="14"/>
  <c r="L115" i="14"/>
  <c r="E115" i="14"/>
  <c r="K115" i="14"/>
  <c r="S114" i="14"/>
  <c r="R114" i="14"/>
  <c r="Q114" i="14"/>
  <c r="P114" i="14"/>
  <c r="F114" i="14"/>
  <c r="L114" i="14"/>
  <c r="E114" i="14"/>
  <c r="K114" i="14"/>
  <c r="S113" i="14"/>
  <c r="R113" i="14"/>
  <c r="Q113" i="14"/>
  <c r="P113" i="14"/>
  <c r="F113" i="14"/>
  <c r="L113" i="14"/>
  <c r="E113" i="14"/>
  <c r="K113" i="14"/>
  <c r="S112" i="14"/>
  <c r="R112" i="14"/>
  <c r="Q112" i="14"/>
  <c r="P112" i="14"/>
  <c r="F112" i="14"/>
  <c r="L112" i="14"/>
  <c r="E112" i="14"/>
  <c r="K112" i="14"/>
  <c r="S111" i="14"/>
  <c r="R111" i="14"/>
  <c r="Q111" i="14"/>
  <c r="P111" i="14"/>
  <c r="F111" i="14"/>
  <c r="L111" i="14"/>
  <c r="E111" i="14"/>
  <c r="K111" i="14"/>
  <c r="S110" i="14"/>
  <c r="R110" i="14"/>
  <c r="Q110" i="14"/>
  <c r="P110" i="14"/>
  <c r="F110" i="14"/>
  <c r="L110" i="14"/>
  <c r="E110" i="14"/>
  <c r="K110" i="14"/>
  <c r="S109" i="14"/>
  <c r="R109" i="14"/>
  <c r="Q109" i="14"/>
  <c r="P109" i="14"/>
  <c r="F109" i="14"/>
  <c r="L109" i="14"/>
  <c r="E109" i="14"/>
  <c r="K109" i="14"/>
  <c r="S108" i="14"/>
  <c r="R108" i="14"/>
  <c r="Q108" i="14"/>
  <c r="P108" i="14"/>
  <c r="F108" i="14"/>
  <c r="L108" i="14"/>
  <c r="E108" i="14"/>
  <c r="K108" i="14"/>
  <c r="S107" i="14"/>
  <c r="R107" i="14"/>
  <c r="Q107" i="14"/>
  <c r="P107" i="14"/>
  <c r="F107" i="14"/>
  <c r="L107" i="14"/>
  <c r="E107" i="14"/>
  <c r="K107" i="14"/>
  <c r="S106" i="14"/>
  <c r="R106" i="14"/>
  <c r="Q106" i="14"/>
  <c r="P106" i="14"/>
  <c r="F106" i="14"/>
  <c r="L106" i="14"/>
  <c r="E106" i="14"/>
  <c r="K106" i="14"/>
  <c r="S105" i="14"/>
  <c r="R105" i="14"/>
  <c r="Q105" i="14"/>
  <c r="P105" i="14"/>
  <c r="F105" i="14"/>
  <c r="L105" i="14"/>
  <c r="E105" i="14"/>
  <c r="K105" i="14"/>
  <c r="S104" i="14"/>
  <c r="R104" i="14"/>
  <c r="Q104" i="14"/>
  <c r="P104" i="14"/>
  <c r="F104" i="14"/>
  <c r="L104" i="14"/>
  <c r="E104" i="14"/>
  <c r="K104" i="14"/>
  <c r="S103" i="14"/>
  <c r="R103" i="14"/>
  <c r="Q103" i="14"/>
  <c r="P103" i="14"/>
  <c r="F103" i="14"/>
  <c r="L103" i="14"/>
  <c r="E103" i="14"/>
  <c r="K103" i="14"/>
  <c r="S102" i="14"/>
  <c r="R102" i="14"/>
  <c r="Q102" i="14"/>
  <c r="P102" i="14"/>
  <c r="F102" i="14"/>
  <c r="L102" i="14"/>
  <c r="E102" i="14"/>
  <c r="K102" i="14"/>
  <c r="S101" i="14"/>
  <c r="R101" i="14"/>
  <c r="Q101" i="14"/>
  <c r="P101" i="14"/>
  <c r="F101" i="14"/>
  <c r="L101" i="14"/>
  <c r="E101" i="14"/>
  <c r="K101" i="14"/>
  <c r="S100" i="14"/>
  <c r="R100" i="14"/>
  <c r="Q100" i="14"/>
  <c r="P100" i="14"/>
  <c r="F100" i="14"/>
  <c r="L100" i="14"/>
  <c r="E100" i="14"/>
  <c r="K100" i="14"/>
  <c r="S99" i="14"/>
  <c r="R99" i="14"/>
  <c r="Q99" i="14"/>
  <c r="P99" i="14"/>
  <c r="F99" i="14"/>
  <c r="L99" i="14"/>
  <c r="E99" i="14"/>
  <c r="K99" i="14"/>
  <c r="S98" i="14"/>
  <c r="R98" i="14"/>
  <c r="Q98" i="14"/>
  <c r="P98" i="14"/>
  <c r="F98" i="14"/>
  <c r="L98" i="14"/>
  <c r="E98" i="14"/>
  <c r="K98" i="14"/>
  <c r="S97" i="14"/>
  <c r="R97" i="14"/>
  <c r="Q97" i="14"/>
  <c r="P97" i="14"/>
  <c r="F97" i="14"/>
  <c r="L97" i="14"/>
  <c r="E97" i="14"/>
  <c r="K97" i="14"/>
  <c r="S96" i="14"/>
  <c r="R96" i="14"/>
  <c r="Q96" i="14"/>
  <c r="P96" i="14"/>
  <c r="F96" i="14"/>
  <c r="L96" i="14"/>
  <c r="E96" i="14"/>
  <c r="K96" i="14"/>
  <c r="S95" i="14"/>
  <c r="R95" i="14"/>
  <c r="Q95" i="14"/>
  <c r="P95" i="14"/>
  <c r="F95" i="14"/>
  <c r="L95" i="14"/>
  <c r="E95" i="14"/>
  <c r="K95" i="14"/>
  <c r="S94" i="14"/>
  <c r="R94" i="14"/>
  <c r="Q94" i="14"/>
  <c r="P94" i="14"/>
  <c r="F94" i="14"/>
  <c r="L94" i="14"/>
  <c r="E94" i="14"/>
  <c r="K94" i="14"/>
  <c r="S93" i="14"/>
  <c r="R93" i="14"/>
  <c r="Q93" i="14"/>
  <c r="P93" i="14"/>
  <c r="F93" i="14"/>
  <c r="L93" i="14"/>
  <c r="E93" i="14"/>
  <c r="K93" i="14"/>
  <c r="S92" i="14"/>
  <c r="R92" i="14"/>
  <c r="Q92" i="14"/>
  <c r="P92" i="14"/>
  <c r="F92" i="14"/>
  <c r="L92" i="14"/>
  <c r="E92" i="14"/>
  <c r="K92" i="14"/>
  <c r="S91" i="14"/>
  <c r="R91" i="14"/>
  <c r="Q91" i="14"/>
  <c r="P91" i="14"/>
  <c r="F91" i="14"/>
  <c r="L91" i="14"/>
  <c r="E91" i="14"/>
  <c r="K91" i="14"/>
  <c r="S90" i="14"/>
  <c r="R90" i="14"/>
  <c r="Q90" i="14"/>
  <c r="P90" i="14"/>
  <c r="F90" i="14"/>
  <c r="L90" i="14"/>
  <c r="E90" i="14"/>
  <c r="K90" i="14"/>
  <c r="S89" i="14"/>
  <c r="R89" i="14"/>
  <c r="Q89" i="14"/>
  <c r="P89" i="14"/>
  <c r="F89" i="14"/>
  <c r="L89" i="14"/>
  <c r="E89" i="14"/>
  <c r="K89" i="14"/>
  <c r="S88" i="14"/>
  <c r="R88" i="14"/>
  <c r="Q88" i="14"/>
  <c r="P88" i="14"/>
  <c r="F88" i="14"/>
  <c r="L88" i="14"/>
  <c r="E88" i="14"/>
  <c r="K88" i="14"/>
  <c r="S87" i="14"/>
  <c r="R87" i="14"/>
  <c r="Q87" i="14"/>
  <c r="P87" i="14"/>
  <c r="F87" i="14"/>
  <c r="L87" i="14"/>
  <c r="E87" i="14"/>
  <c r="K87" i="14"/>
  <c r="S86" i="14"/>
  <c r="R86" i="14"/>
  <c r="Q86" i="14"/>
  <c r="P86" i="14"/>
  <c r="F86" i="14"/>
  <c r="L86" i="14"/>
  <c r="E86" i="14"/>
  <c r="K86" i="14"/>
  <c r="S85" i="14"/>
  <c r="R85" i="14"/>
  <c r="Q85" i="14"/>
  <c r="P85" i="14"/>
  <c r="F85" i="14"/>
  <c r="L85" i="14"/>
  <c r="E85" i="14"/>
  <c r="K85" i="14"/>
  <c r="S84" i="14"/>
  <c r="R84" i="14"/>
  <c r="Q84" i="14"/>
  <c r="P84" i="14"/>
  <c r="F84" i="14"/>
  <c r="L84" i="14"/>
  <c r="E84" i="14"/>
  <c r="K84" i="14"/>
  <c r="S83" i="14"/>
  <c r="R83" i="14"/>
  <c r="Q83" i="14"/>
  <c r="P83" i="14"/>
  <c r="F83" i="14"/>
  <c r="L83" i="14"/>
  <c r="E83" i="14"/>
  <c r="K83" i="14"/>
  <c r="S82" i="14"/>
  <c r="R82" i="14"/>
  <c r="Q82" i="14"/>
  <c r="P82" i="14"/>
  <c r="F82" i="14"/>
  <c r="L82" i="14"/>
  <c r="E82" i="14"/>
  <c r="K82" i="14"/>
  <c r="S81" i="14"/>
  <c r="R81" i="14"/>
  <c r="Q81" i="14"/>
  <c r="P81" i="14"/>
  <c r="F81" i="14"/>
  <c r="L81" i="14"/>
  <c r="E81" i="14"/>
  <c r="K81" i="14"/>
  <c r="S80" i="14"/>
  <c r="R80" i="14"/>
  <c r="Q80" i="14"/>
  <c r="P80" i="14"/>
  <c r="F80" i="14"/>
  <c r="L80" i="14"/>
  <c r="E80" i="14"/>
  <c r="K80" i="14"/>
  <c r="S79" i="14"/>
  <c r="R79" i="14"/>
  <c r="Q79" i="14"/>
  <c r="P79" i="14"/>
  <c r="F79" i="14"/>
  <c r="L79" i="14"/>
  <c r="E79" i="14"/>
  <c r="K79" i="14"/>
  <c r="S78" i="14"/>
  <c r="R78" i="14"/>
  <c r="Q78" i="14"/>
  <c r="P78" i="14"/>
  <c r="F78" i="14"/>
  <c r="L78" i="14"/>
  <c r="E78" i="14"/>
  <c r="K78" i="14"/>
  <c r="S77" i="14"/>
  <c r="R77" i="14"/>
  <c r="Q77" i="14"/>
  <c r="P77" i="14"/>
  <c r="F77" i="14"/>
  <c r="L77" i="14"/>
  <c r="E77" i="14"/>
  <c r="K77" i="14"/>
  <c r="S76" i="14"/>
  <c r="R76" i="14"/>
  <c r="Q76" i="14"/>
  <c r="P76" i="14"/>
  <c r="F76" i="14"/>
  <c r="L76" i="14"/>
  <c r="E76" i="14"/>
  <c r="K76" i="14"/>
  <c r="S75" i="14"/>
  <c r="R75" i="14"/>
  <c r="Q75" i="14"/>
  <c r="P75" i="14"/>
  <c r="F75" i="14"/>
  <c r="L75" i="14"/>
  <c r="E75" i="14"/>
  <c r="K75" i="14"/>
  <c r="S74" i="14"/>
  <c r="R74" i="14"/>
  <c r="Q74" i="14"/>
  <c r="P74" i="14"/>
  <c r="F74" i="14"/>
  <c r="L74" i="14"/>
  <c r="E74" i="14"/>
  <c r="K74" i="14"/>
  <c r="S73" i="14"/>
  <c r="R73" i="14"/>
  <c r="Q73" i="14"/>
  <c r="P73" i="14"/>
  <c r="F73" i="14"/>
  <c r="L73" i="14"/>
  <c r="E73" i="14"/>
  <c r="K73" i="14"/>
  <c r="S72" i="14"/>
  <c r="R72" i="14"/>
  <c r="Q72" i="14"/>
  <c r="P72" i="14"/>
  <c r="F72" i="14"/>
  <c r="L72" i="14"/>
  <c r="E72" i="14"/>
  <c r="K72" i="14"/>
  <c r="S71" i="14"/>
  <c r="R71" i="14"/>
  <c r="Q71" i="14"/>
  <c r="P71" i="14"/>
  <c r="F71" i="14"/>
  <c r="L71" i="14"/>
  <c r="E71" i="14"/>
  <c r="K71" i="14"/>
  <c r="S70" i="14"/>
  <c r="R70" i="14"/>
  <c r="Q70" i="14"/>
  <c r="P70" i="14"/>
  <c r="F70" i="14"/>
  <c r="L70" i="14"/>
  <c r="E70" i="14"/>
  <c r="K70" i="14"/>
  <c r="S69" i="14"/>
  <c r="R69" i="14"/>
  <c r="Q69" i="14"/>
  <c r="P69" i="14"/>
  <c r="F69" i="14"/>
  <c r="L69" i="14"/>
  <c r="E69" i="14"/>
  <c r="K69" i="14"/>
  <c r="S68" i="14"/>
  <c r="R68" i="14"/>
  <c r="Q68" i="14"/>
  <c r="P68" i="14"/>
  <c r="F68" i="14"/>
  <c r="L68" i="14"/>
  <c r="E68" i="14"/>
  <c r="K68" i="14"/>
  <c r="S67" i="14"/>
  <c r="R67" i="14"/>
  <c r="Q67" i="14"/>
  <c r="P67" i="14"/>
  <c r="F67" i="14"/>
  <c r="L67" i="14"/>
  <c r="E67" i="14"/>
  <c r="K67" i="14"/>
  <c r="S66" i="14"/>
  <c r="R66" i="14"/>
  <c r="Q66" i="14"/>
  <c r="P66" i="14"/>
  <c r="F66" i="14"/>
  <c r="L66" i="14"/>
  <c r="E66" i="14"/>
  <c r="K66" i="14"/>
  <c r="S65" i="14"/>
  <c r="R65" i="14"/>
  <c r="Q65" i="14"/>
  <c r="P65" i="14"/>
  <c r="F65" i="14"/>
  <c r="L65" i="14"/>
  <c r="E65" i="14"/>
  <c r="K65" i="14"/>
  <c r="S64" i="14"/>
  <c r="R64" i="14"/>
  <c r="Q64" i="14"/>
  <c r="P64" i="14"/>
  <c r="F64" i="14"/>
  <c r="L64" i="14"/>
  <c r="E64" i="14"/>
  <c r="K64" i="14"/>
  <c r="S63" i="14"/>
  <c r="R63" i="14"/>
  <c r="Q63" i="14"/>
  <c r="P63" i="14"/>
  <c r="F63" i="14"/>
  <c r="L63" i="14"/>
  <c r="E63" i="14"/>
  <c r="K63" i="14"/>
  <c r="S62" i="14"/>
  <c r="R62" i="14"/>
  <c r="Q62" i="14"/>
  <c r="P62" i="14"/>
  <c r="F62" i="14"/>
  <c r="L62" i="14"/>
  <c r="E62" i="14"/>
  <c r="K62" i="14"/>
  <c r="S61" i="14"/>
  <c r="R61" i="14"/>
  <c r="Q61" i="14"/>
  <c r="P61" i="14"/>
  <c r="F61" i="14"/>
  <c r="L61" i="14"/>
  <c r="E61" i="14"/>
  <c r="K61" i="14"/>
  <c r="S60" i="14"/>
  <c r="R60" i="14"/>
  <c r="Q60" i="14"/>
  <c r="P60" i="14"/>
  <c r="F60" i="14"/>
  <c r="L60" i="14"/>
  <c r="E60" i="14"/>
  <c r="K60" i="14"/>
  <c r="S59" i="14"/>
  <c r="R59" i="14"/>
  <c r="Q59" i="14"/>
  <c r="P59" i="14"/>
  <c r="F59" i="14"/>
  <c r="L59" i="14"/>
  <c r="E59" i="14"/>
  <c r="K59" i="14"/>
  <c r="S58" i="14"/>
  <c r="R58" i="14"/>
  <c r="Q58" i="14"/>
  <c r="P58" i="14"/>
  <c r="F58" i="14"/>
  <c r="L58" i="14"/>
  <c r="E58" i="14"/>
  <c r="K58" i="14"/>
  <c r="S57" i="14"/>
  <c r="R57" i="14"/>
  <c r="Q57" i="14"/>
  <c r="P57" i="14"/>
  <c r="F57" i="14"/>
  <c r="L57" i="14"/>
  <c r="E57" i="14"/>
  <c r="K57" i="14"/>
  <c r="S56" i="14"/>
  <c r="R56" i="14"/>
  <c r="Q56" i="14"/>
  <c r="P56" i="14"/>
  <c r="F56" i="14"/>
  <c r="L56" i="14"/>
  <c r="E56" i="14"/>
  <c r="K56" i="14"/>
  <c r="S55" i="14"/>
  <c r="R55" i="14"/>
  <c r="Q55" i="14"/>
  <c r="P55" i="14"/>
  <c r="F55" i="14"/>
  <c r="L55" i="14"/>
  <c r="E55" i="14"/>
  <c r="K55" i="14"/>
  <c r="S54" i="14"/>
  <c r="R54" i="14"/>
  <c r="Q54" i="14"/>
  <c r="P54" i="14"/>
  <c r="F54" i="14"/>
  <c r="L54" i="14"/>
  <c r="E54" i="14"/>
  <c r="K54" i="14"/>
  <c r="S53" i="14"/>
  <c r="R53" i="14"/>
  <c r="Q53" i="14"/>
  <c r="P53" i="14"/>
  <c r="F53" i="14"/>
  <c r="L53" i="14"/>
  <c r="E53" i="14"/>
  <c r="K53" i="14"/>
  <c r="S52" i="14"/>
  <c r="R52" i="14"/>
  <c r="Q52" i="14"/>
  <c r="P52" i="14"/>
  <c r="F52" i="14"/>
  <c r="L52" i="14"/>
  <c r="E52" i="14"/>
  <c r="K52" i="14"/>
  <c r="S51" i="14"/>
  <c r="R51" i="14"/>
  <c r="Q51" i="14"/>
  <c r="P51" i="14"/>
  <c r="F51" i="14"/>
  <c r="L51" i="14"/>
  <c r="E51" i="14"/>
  <c r="K51" i="14"/>
  <c r="S50" i="14"/>
  <c r="R50" i="14"/>
  <c r="Q50" i="14"/>
  <c r="P50" i="14"/>
  <c r="F50" i="14"/>
  <c r="L50" i="14"/>
  <c r="E50" i="14"/>
  <c r="K50" i="14"/>
  <c r="S49" i="14"/>
  <c r="R49" i="14"/>
  <c r="Q49" i="14"/>
  <c r="P49" i="14"/>
  <c r="F49" i="14"/>
  <c r="L49" i="14"/>
  <c r="E49" i="14"/>
  <c r="K49" i="14"/>
  <c r="S48" i="14"/>
  <c r="R48" i="14"/>
  <c r="Q48" i="14"/>
  <c r="P48" i="14"/>
  <c r="F48" i="14"/>
  <c r="L48" i="14"/>
  <c r="E48" i="14"/>
  <c r="K48" i="14"/>
  <c r="S47" i="14"/>
  <c r="R47" i="14"/>
  <c r="Q47" i="14"/>
  <c r="P47" i="14"/>
  <c r="F47" i="14"/>
  <c r="L47" i="14"/>
  <c r="E47" i="14"/>
  <c r="K47" i="14"/>
  <c r="S46" i="14"/>
  <c r="R46" i="14"/>
  <c r="Q46" i="14"/>
  <c r="P46" i="14"/>
  <c r="F46" i="14"/>
  <c r="L46" i="14"/>
  <c r="E46" i="14"/>
  <c r="K46" i="14"/>
  <c r="S45" i="14"/>
  <c r="R45" i="14"/>
  <c r="Q45" i="14"/>
  <c r="P45" i="14"/>
  <c r="F45" i="14"/>
  <c r="L45" i="14"/>
  <c r="E45" i="14"/>
  <c r="K45" i="14"/>
  <c r="S44" i="14"/>
  <c r="R44" i="14"/>
  <c r="Q44" i="14"/>
  <c r="P44" i="14"/>
  <c r="F44" i="14"/>
  <c r="L44" i="14"/>
  <c r="E44" i="14"/>
  <c r="K44" i="14"/>
  <c r="S43" i="14"/>
  <c r="R43" i="14"/>
  <c r="Q43" i="14"/>
  <c r="P43" i="14"/>
  <c r="F43" i="14"/>
  <c r="L43" i="14"/>
  <c r="E43" i="14"/>
  <c r="K43" i="14"/>
  <c r="S42" i="14"/>
  <c r="R42" i="14"/>
  <c r="Q42" i="14"/>
  <c r="P42" i="14"/>
  <c r="F42" i="14"/>
  <c r="L42" i="14"/>
  <c r="E42" i="14"/>
  <c r="K42" i="14"/>
  <c r="S41" i="14"/>
  <c r="R41" i="14"/>
  <c r="Q41" i="14"/>
  <c r="P41" i="14"/>
  <c r="F41" i="14"/>
  <c r="L41" i="14"/>
  <c r="E41" i="14"/>
  <c r="K41" i="14"/>
  <c r="S40" i="14"/>
  <c r="R40" i="14"/>
  <c r="Q40" i="14"/>
  <c r="P40" i="14"/>
  <c r="F40" i="14"/>
  <c r="L40" i="14"/>
  <c r="E40" i="14"/>
  <c r="K40" i="14"/>
  <c r="S39" i="14"/>
  <c r="R39" i="14"/>
  <c r="Q39" i="14"/>
  <c r="P39" i="14"/>
  <c r="F39" i="14"/>
  <c r="L39" i="14"/>
  <c r="E39" i="14"/>
  <c r="K39" i="14"/>
  <c r="S38" i="14"/>
  <c r="R38" i="14"/>
  <c r="Q38" i="14"/>
  <c r="P38" i="14"/>
  <c r="F38" i="14"/>
  <c r="L38" i="14"/>
  <c r="E38" i="14"/>
  <c r="K38" i="14"/>
  <c r="S37" i="14"/>
  <c r="R37" i="14"/>
  <c r="Q37" i="14"/>
  <c r="P37" i="14"/>
  <c r="F37" i="14"/>
  <c r="L37" i="14"/>
  <c r="E37" i="14"/>
  <c r="K37" i="14"/>
  <c r="S36" i="14"/>
  <c r="R36" i="14"/>
  <c r="Q36" i="14"/>
  <c r="P36" i="14"/>
  <c r="F36" i="14"/>
  <c r="L36" i="14"/>
  <c r="E36" i="14"/>
  <c r="K36" i="14"/>
  <c r="S35" i="14"/>
  <c r="R35" i="14"/>
  <c r="Q35" i="14"/>
  <c r="P35" i="14"/>
  <c r="F35" i="14"/>
  <c r="L35" i="14"/>
  <c r="E35" i="14"/>
  <c r="K35" i="14"/>
  <c r="S34" i="14"/>
  <c r="R34" i="14"/>
  <c r="Q34" i="14"/>
  <c r="P34" i="14"/>
  <c r="F34" i="14"/>
  <c r="L34" i="14"/>
  <c r="E34" i="14"/>
  <c r="K34" i="14"/>
  <c r="S33" i="14"/>
  <c r="R33" i="14"/>
  <c r="Q33" i="14"/>
  <c r="P33" i="14"/>
  <c r="F33" i="14"/>
  <c r="L33" i="14"/>
  <c r="E33" i="14"/>
  <c r="K33" i="14"/>
  <c r="S32" i="14"/>
  <c r="R32" i="14"/>
  <c r="Q32" i="14"/>
  <c r="P32" i="14"/>
  <c r="F32" i="14"/>
  <c r="L32" i="14"/>
  <c r="E32" i="14"/>
  <c r="K32" i="14"/>
  <c r="S31" i="14"/>
  <c r="R31" i="14"/>
  <c r="Q31" i="14"/>
  <c r="P31" i="14"/>
  <c r="F31" i="14"/>
  <c r="L31" i="14"/>
  <c r="E31" i="14"/>
  <c r="K31" i="14"/>
  <c r="S30" i="14"/>
  <c r="R30" i="14"/>
  <c r="Q30" i="14"/>
  <c r="P30" i="14"/>
  <c r="F30" i="14"/>
  <c r="L30" i="14"/>
  <c r="E30" i="14"/>
  <c r="K30" i="14"/>
  <c r="S29" i="14"/>
  <c r="R29" i="14"/>
  <c r="Q29" i="14"/>
  <c r="P29" i="14"/>
  <c r="F29" i="14"/>
  <c r="L29" i="14"/>
  <c r="E29" i="14"/>
  <c r="K29" i="14"/>
  <c r="S28" i="14"/>
  <c r="R28" i="14"/>
  <c r="Q28" i="14"/>
  <c r="P28" i="14"/>
  <c r="F28" i="14"/>
  <c r="L28" i="14"/>
  <c r="E28" i="14"/>
  <c r="K28" i="14"/>
  <c r="S27" i="14"/>
  <c r="R27" i="14"/>
  <c r="Q27" i="14"/>
  <c r="P27" i="14"/>
  <c r="F27" i="14"/>
  <c r="L27" i="14"/>
  <c r="E27" i="14"/>
  <c r="K27" i="14"/>
  <c r="S26" i="14"/>
  <c r="R26" i="14"/>
  <c r="Q26" i="14"/>
  <c r="P26" i="14"/>
  <c r="F26" i="14"/>
  <c r="L26" i="14"/>
  <c r="E26" i="14"/>
  <c r="K26" i="14"/>
  <c r="S25" i="14"/>
  <c r="R25" i="14"/>
  <c r="Q25" i="14"/>
  <c r="P25" i="14"/>
  <c r="F25" i="14"/>
  <c r="L25" i="14"/>
  <c r="E25" i="14"/>
  <c r="K25" i="14"/>
  <c r="S24" i="14"/>
  <c r="R24" i="14"/>
  <c r="Q24" i="14"/>
  <c r="P24" i="14"/>
  <c r="F24" i="14"/>
  <c r="L24" i="14"/>
  <c r="E24" i="14"/>
  <c r="K24" i="14"/>
  <c r="S23" i="14"/>
  <c r="R23" i="14"/>
  <c r="Q23" i="14"/>
  <c r="P23" i="14"/>
  <c r="F23" i="14"/>
  <c r="L23" i="14"/>
  <c r="E23" i="14"/>
  <c r="K23" i="14"/>
  <c r="S22" i="14"/>
  <c r="R22" i="14"/>
  <c r="Q22" i="14"/>
  <c r="P22" i="14"/>
  <c r="F22" i="14"/>
  <c r="L22" i="14"/>
  <c r="E22" i="14"/>
  <c r="K22" i="14"/>
  <c r="S21" i="14"/>
  <c r="R21" i="14"/>
  <c r="Q21" i="14"/>
  <c r="P21" i="14"/>
  <c r="F21" i="14"/>
  <c r="L21" i="14"/>
  <c r="E21" i="14"/>
  <c r="K21" i="14"/>
  <c r="S20" i="14"/>
  <c r="R20" i="14"/>
  <c r="Q20" i="14"/>
  <c r="P20" i="14"/>
  <c r="F20" i="14"/>
  <c r="L20" i="14"/>
  <c r="E20" i="14"/>
  <c r="K20" i="14"/>
  <c r="S19" i="14"/>
  <c r="R19" i="14"/>
  <c r="Q19" i="14"/>
  <c r="P19" i="14"/>
  <c r="F19" i="14"/>
  <c r="L19" i="14"/>
  <c r="E19" i="14"/>
  <c r="K19" i="14"/>
  <c r="S18" i="14"/>
  <c r="R18" i="14"/>
  <c r="Q18" i="14"/>
  <c r="P18" i="14"/>
  <c r="F18" i="14"/>
  <c r="L18" i="14"/>
  <c r="E18" i="14"/>
  <c r="K18" i="14"/>
  <c r="S17" i="14"/>
  <c r="R17" i="14"/>
  <c r="Q17" i="14"/>
  <c r="P17" i="14"/>
  <c r="F17" i="14"/>
  <c r="L17" i="14"/>
  <c r="E17" i="14"/>
  <c r="K17" i="14"/>
  <c r="S16" i="14"/>
  <c r="R16" i="14"/>
  <c r="Q16" i="14"/>
  <c r="P16" i="14"/>
  <c r="F16" i="14"/>
  <c r="L16" i="14"/>
  <c r="E16" i="14"/>
  <c r="K16" i="14"/>
  <c r="S15" i="14"/>
  <c r="R15" i="14"/>
  <c r="Q15" i="14"/>
  <c r="P15" i="14"/>
  <c r="F15" i="14"/>
  <c r="L15" i="14"/>
  <c r="E15" i="14"/>
  <c r="K15" i="14"/>
  <c r="S14" i="14"/>
  <c r="R14" i="14"/>
  <c r="Q14" i="14"/>
  <c r="P14" i="14"/>
  <c r="F14" i="14"/>
  <c r="L14" i="14"/>
  <c r="E14" i="14"/>
  <c r="K14" i="14"/>
  <c r="S13" i="14"/>
  <c r="R13" i="14"/>
  <c r="Q13" i="14"/>
  <c r="P13" i="14"/>
  <c r="F13" i="14"/>
  <c r="L13" i="14"/>
  <c r="E13" i="14"/>
  <c r="K13" i="14"/>
  <c r="S12" i="14"/>
  <c r="R12" i="14"/>
  <c r="Q12" i="14"/>
  <c r="P12" i="14"/>
  <c r="F12" i="14"/>
  <c r="L12" i="14"/>
  <c r="E12" i="14"/>
  <c r="K12" i="14"/>
  <c r="S11" i="14"/>
  <c r="R11" i="14"/>
  <c r="Q11" i="14"/>
  <c r="P11" i="14"/>
  <c r="F11" i="14"/>
  <c r="L11" i="14"/>
  <c r="E11" i="14"/>
  <c r="K11" i="14"/>
  <c r="S10" i="14"/>
  <c r="R10" i="14"/>
  <c r="Q10" i="14"/>
  <c r="P10" i="14"/>
  <c r="F10" i="14"/>
  <c r="L10" i="14"/>
  <c r="E10" i="14"/>
  <c r="K10" i="14"/>
  <c r="S9" i="14"/>
  <c r="R9" i="14"/>
  <c r="Q9" i="14"/>
  <c r="P9" i="14"/>
  <c r="F9" i="14"/>
  <c r="L9" i="14"/>
  <c r="E9" i="14"/>
  <c r="K9" i="14"/>
  <c r="S8" i="14"/>
  <c r="R8" i="14"/>
  <c r="Q8" i="14"/>
  <c r="P8" i="14"/>
  <c r="F8" i="14"/>
  <c r="L8" i="14"/>
  <c r="E8" i="14"/>
  <c r="K8" i="14"/>
  <c r="S7" i="14"/>
  <c r="R7" i="14"/>
  <c r="Q7" i="14"/>
  <c r="P7" i="14"/>
  <c r="F7" i="14"/>
  <c r="L7" i="14"/>
  <c r="E7" i="14"/>
  <c r="K7" i="14"/>
  <c r="S6" i="14"/>
  <c r="R6" i="14"/>
  <c r="Q6" i="14"/>
  <c r="P6" i="14"/>
  <c r="F6" i="14"/>
  <c r="L6" i="14"/>
  <c r="E6" i="14"/>
  <c r="K6" i="14"/>
  <c r="S5" i="14"/>
  <c r="R5" i="14"/>
  <c r="Q5" i="14"/>
  <c r="P5" i="14"/>
  <c r="F5" i="14"/>
  <c r="L5" i="14"/>
  <c r="E5" i="14"/>
  <c r="K5" i="14"/>
  <c r="S4" i="14"/>
  <c r="F4" i="14"/>
  <c r="L4" i="14"/>
  <c r="R4" i="14"/>
  <c r="Q4" i="14"/>
  <c r="E4" i="14"/>
  <c r="K4" i="14"/>
  <c r="P4" i="14"/>
  <c r="F3" i="14"/>
  <c r="L3" i="14"/>
  <c r="S3" i="14"/>
  <c r="F2" i="14"/>
  <c r="L2" i="14"/>
  <c r="R3" i="14"/>
  <c r="E3" i="14"/>
  <c r="K3" i="14"/>
  <c r="Q3" i="14"/>
  <c r="E2" i="14"/>
  <c r="K2" i="14"/>
  <c r="P3" i="14"/>
  <c r="C1" i="13"/>
  <c r="D1" i="13"/>
  <c r="F255" i="13"/>
  <c r="L255" i="13"/>
  <c r="E255" i="13"/>
  <c r="K255" i="13"/>
  <c r="F254" i="13"/>
  <c r="L254" i="13"/>
  <c r="E254" i="13"/>
  <c r="K254" i="13"/>
  <c r="F253" i="13"/>
  <c r="L253" i="13"/>
  <c r="E253" i="13"/>
  <c r="K253" i="13"/>
  <c r="F252" i="13"/>
  <c r="L252" i="13"/>
  <c r="E252" i="13"/>
  <c r="K252" i="13"/>
  <c r="F251" i="13"/>
  <c r="L251" i="13"/>
  <c r="E251" i="13"/>
  <c r="K251" i="13"/>
  <c r="F250" i="13"/>
  <c r="L250" i="13"/>
  <c r="E250" i="13"/>
  <c r="K250" i="13"/>
  <c r="F249" i="13"/>
  <c r="L249" i="13"/>
  <c r="E249" i="13"/>
  <c r="K249" i="13"/>
  <c r="F248" i="13"/>
  <c r="L248" i="13"/>
  <c r="E248" i="13"/>
  <c r="K248" i="13"/>
  <c r="F247" i="13"/>
  <c r="L247" i="13"/>
  <c r="E247" i="13"/>
  <c r="K247" i="13"/>
  <c r="F246" i="13"/>
  <c r="L246" i="13"/>
  <c r="E246" i="13"/>
  <c r="K246" i="13"/>
  <c r="F245" i="13"/>
  <c r="L245" i="13"/>
  <c r="E245" i="13"/>
  <c r="K245" i="13"/>
  <c r="F244" i="13"/>
  <c r="L244" i="13"/>
  <c r="E244" i="13"/>
  <c r="K244" i="13"/>
  <c r="F243" i="13"/>
  <c r="L243" i="13"/>
  <c r="E243" i="13"/>
  <c r="K243" i="13"/>
  <c r="F242" i="13"/>
  <c r="L242" i="13"/>
  <c r="E242" i="13"/>
  <c r="K242" i="13"/>
  <c r="F241" i="13"/>
  <c r="L241" i="13"/>
  <c r="E241" i="13"/>
  <c r="K241" i="13"/>
  <c r="F240" i="13"/>
  <c r="L240" i="13"/>
  <c r="E240" i="13"/>
  <c r="K240" i="13"/>
  <c r="F239" i="13"/>
  <c r="L239" i="13"/>
  <c r="E239" i="13"/>
  <c r="K239" i="13"/>
  <c r="F238" i="13"/>
  <c r="L238" i="13"/>
  <c r="E238" i="13"/>
  <c r="K238" i="13"/>
  <c r="F237" i="13"/>
  <c r="L237" i="13"/>
  <c r="E237" i="13"/>
  <c r="K237" i="13"/>
  <c r="F236" i="13"/>
  <c r="L236" i="13"/>
  <c r="E236" i="13"/>
  <c r="K236" i="13"/>
  <c r="F235" i="13"/>
  <c r="L235" i="13"/>
  <c r="E235" i="13"/>
  <c r="K235" i="13"/>
  <c r="F234" i="13"/>
  <c r="L234" i="13"/>
  <c r="E234" i="13"/>
  <c r="K234" i="13"/>
  <c r="F233" i="13"/>
  <c r="L233" i="13"/>
  <c r="E233" i="13"/>
  <c r="K233" i="13"/>
  <c r="F232" i="13"/>
  <c r="L232" i="13"/>
  <c r="E232" i="13"/>
  <c r="K232" i="13"/>
  <c r="F231" i="13"/>
  <c r="L231" i="13"/>
  <c r="E231" i="13"/>
  <c r="K231" i="13"/>
  <c r="F230" i="13"/>
  <c r="L230" i="13"/>
  <c r="E230" i="13"/>
  <c r="K230" i="13"/>
  <c r="F229" i="13"/>
  <c r="L229" i="13"/>
  <c r="E229" i="13"/>
  <c r="K229" i="13"/>
  <c r="F228" i="13"/>
  <c r="L228" i="13"/>
  <c r="E228" i="13"/>
  <c r="K228" i="13"/>
  <c r="F227" i="13"/>
  <c r="L227" i="13"/>
  <c r="E227" i="13"/>
  <c r="K227" i="13"/>
  <c r="F226" i="13"/>
  <c r="L226" i="13"/>
  <c r="E226" i="13"/>
  <c r="K226" i="13"/>
  <c r="F225" i="13"/>
  <c r="L225" i="13"/>
  <c r="E225" i="13"/>
  <c r="K225" i="13"/>
  <c r="F224" i="13"/>
  <c r="L224" i="13"/>
  <c r="E224" i="13"/>
  <c r="K224" i="13"/>
  <c r="F223" i="13"/>
  <c r="L223" i="13"/>
  <c r="E223" i="13"/>
  <c r="K223" i="13"/>
  <c r="F222" i="13"/>
  <c r="L222" i="13"/>
  <c r="E222" i="13"/>
  <c r="K222" i="13"/>
  <c r="F221" i="13"/>
  <c r="L221" i="13"/>
  <c r="E221" i="13"/>
  <c r="K221" i="13"/>
  <c r="F220" i="13"/>
  <c r="L220" i="13"/>
  <c r="E220" i="13"/>
  <c r="K220" i="13"/>
  <c r="F219" i="13"/>
  <c r="L219" i="13"/>
  <c r="E219" i="13"/>
  <c r="K219" i="13"/>
  <c r="F218" i="13"/>
  <c r="L218" i="13"/>
  <c r="E218" i="13"/>
  <c r="K218" i="13"/>
  <c r="F217" i="13"/>
  <c r="L217" i="13"/>
  <c r="E217" i="13"/>
  <c r="K217" i="13"/>
  <c r="F216" i="13"/>
  <c r="L216" i="13"/>
  <c r="E216" i="13"/>
  <c r="K216" i="13"/>
  <c r="F215" i="13"/>
  <c r="L215" i="13"/>
  <c r="E215" i="13"/>
  <c r="K215" i="13"/>
  <c r="F214" i="13"/>
  <c r="L214" i="13"/>
  <c r="E214" i="13"/>
  <c r="K214" i="13"/>
  <c r="F213" i="13"/>
  <c r="L213" i="13"/>
  <c r="E213" i="13"/>
  <c r="K213" i="13"/>
  <c r="F212" i="13"/>
  <c r="L212" i="13"/>
  <c r="E212" i="13"/>
  <c r="K212" i="13"/>
  <c r="F211" i="13"/>
  <c r="L211" i="13"/>
  <c r="E211" i="13"/>
  <c r="K211" i="13"/>
  <c r="F210" i="13"/>
  <c r="L210" i="13"/>
  <c r="E210" i="13"/>
  <c r="K210" i="13"/>
  <c r="F209" i="13"/>
  <c r="L209" i="13"/>
  <c r="E209" i="13"/>
  <c r="K209" i="13"/>
  <c r="F208" i="13"/>
  <c r="L208" i="13"/>
  <c r="E208" i="13"/>
  <c r="K208" i="13"/>
  <c r="F207" i="13"/>
  <c r="L207" i="13"/>
  <c r="E207" i="13"/>
  <c r="K207" i="13"/>
  <c r="F206" i="13"/>
  <c r="L206" i="13"/>
  <c r="E206" i="13"/>
  <c r="K206" i="13"/>
  <c r="F205" i="13"/>
  <c r="L205" i="13"/>
  <c r="E205" i="13"/>
  <c r="K205" i="13"/>
  <c r="F204" i="13"/>
  <c r="L204" i="13"/>
  <c r="E204" i="13"/>
  <c r="K204" i="13"/>
  <c r="F203" i="13"/>
  <c r="L203" i="13"/>
  <c r="E203" i="13"/>
  <c r="K203" i="13"/>
  <c r="F202" i="13"/>
  <c r="L202" i="13"/>
  <c r="E202" i="13"/>
  <c r="K202" i="13"/>
  <c r="F201" i="13"/>
  <c r="L201" i="13"/>
  <c r="E201" i="13"/>
  <c r="K201" i="13"/>
  <c r="F200" i="13"/>
  <c r="L200" i="13"/>
  <c r="E200" i="13"/>
  <c r="K200" i="13"/>
  <c r="F199" i="13"/>
  <c r="L199" i="13"/>
  <c r="E199" i="13"/>
  <c r="K199" i="13"/>
  <c r="F198" i="13"/>
  <c r="L198" i="13"/>
  <c r="E198" i="13"/>
  <c r="K198" i="13"/>
  <c r="F197" i="13"/>
  <c r="L197" i="13"/>
  <c r="E197" i="13"/>
  <c r="K197" i="13"/>
  <c r="F196" i="13"/>
  <c r="L196" i="13"/>
  <c r="E196" i="13"/>
  <c r="K196" i="13"/>
  <c r="F195" i="13"/>
  <c r="L195" i="13"/>
  <c r="E195" i="13"/>
  <c r="K195" i="13"/>
  <c r="F194" i="13"/>
  <c r="L194" i="13"/>
  <c r="E194" i="13"/>
  <c r="K194" i="13"/>
  <c r="F193" i="13"/>
  <c r="L193" i="13"/>
  <c r="E193" i="13"/>
  <c r="K193" i="13"/>
  <c r="F192" i="13"/>
  <c r="L192" i="13"/>
  <c r="E192" i="13"/>
  <c r="K192" i="13"/>
  <c r="F191" i="13"/>
  <c r="L191" i="13"/>
  <c r="E191" i="13"/>
  <c r="K191" i="13"/>
  <c r="F190" i="13"/>
  <c r="L190" i="13"/>
  <c r="E190" i="13"/>
  <c r="K190" i="13"/>
  <c r="F189" i="13"/>
  <c r="L189" i="13"/>
  <c r="E189" i="13"/>
  <c r="K189" i="13"/>
  <c r="F188" i="13"/>
  <c r="L188" i="13"/>
  <c r="E188" i="13"/>
  <c r="K188" i="13"/>
  <c r="F187" i="13"/>
  <c r="L187" i="13"/>
  <c r="E187" i="13"/>
  <c r="K187" i="13"/>
  <c r="F186" i="13"/>
  <c r="L186" i="13"/>
  <c r="E186" i="13"/>
  <c r="K186" i="13"/>
  <c r="F185" i="13"/>
  <c r="L185" i="13"/>
  <c r="E185" i="13"/>
  <c r="K185" i="13"/>
  <c r="F184" i="13"/>
  <c r="L184" i="13"/>
  <c r="E184" i="13"/>
  <c r="K184" i="13"/>
  <c r="F183" i="13"/>
  <c r="L183" i="13"/>
  <c r="E183" i="13"/>
  <c r="K183" i="13"/>
  <c r="F182" i="13"/>
  <c r="L182" i="13"/>
  <c r="E182" i="13"/>
  <c r="K182" i="13"/>
  <c r="F181" i="13"/>
  <c r="L181" i="13"/>
  <c r="E181" i="13"/>
  <c r="K181" i="13"/>
  <c r="F180" i="13"/>
  <c r="L180" i="13"/>
  <c r="E180" i="13"/>
  <c r="K180" i="13"/>
  <c r="F179" i="13"/>
  <c r="L179" i="13"/>
  <c r="E179" i="13"/>
  <c r="K179" i="13"/>
  <c r="F178" i="13"/>
  <c r="L178" i="13"/>
  <c r="E178" i="13"/>
  <c r="K178" i="13"/>
  <c r="F177" i="13"/>
  <c r="L177" i="13"/>
  <c r="E177" i="13"/>
  <c r="K177" i="13"/>
  <c r="F176" i="13"/>
  <c r="L176" i="13"/>
  <c r="E176" i="13"/>
  <c r="K176" i="13"/>
  <c r="F175" i="13"/>
  <c r="L175" i="13"/>
  <c r="E175" i="13"/>
  <c r="K175" i="13"/>
  <c r="F174" i="13"/>
  <c r="L174" i="13"/>
  <c r="E174" i="13"/>
  <c r="K174" i="13"/>
  <c r="F173" i="13"/>
  <c r="L173" i="13"/>
  <c r="E173" i="13"/>
  <c r="K173" i="13"/>
  <c r="F172" i="13"/>
  <c r="L172" i="13"/>
  <c r="E172" i="13"/>
  <c r="K172" i="13"/>
  <c r="F171" i="13"/>
  <c r="L171" i="13"/>
  <c r="E171" i="13"/>
  <c r="K171" i="13"/>
  <c r="F170" i="13"/>
  <c r="L170" i="13"/>
  <c r="E170" i="13"/>
  <c r="K170" i="13"/>
  <c r="F169" i="13"/>
  <c r="L169" i="13"/>
  <c r="E169" i="13"/>
  <c r="K169" i="13"/>
  <c r="F168" i="13"/>
  <c r="L168" i="13"/>
  <c r="E168" i="13"/>
  <c r="K168" i="13"/>
  <c r="F167" i="13"/>
  <c r="L167" i="13"/>
  <c r="E167" i="13"/>
  <c r="K167" i="13"/>
  <c r="F166" i="13"/>
  <c r="L166" i="13"/>
  <c r="E166" i="13"/>
  <c r="K166" i="13"/>
  <c r="F165" i="13"/>
  <c r="L165" i="13"/>
  <c r="E165" i="13"/>
  <c r="K165" i="13"/>
  <c r="F164" i="13"/>
  <c r="L164" i="13"/>
  <c r="E164" i="13"/>
  <c r="K164" i="13"/>
  <c r="F163" i="13"/>
  <c r="L163" i="13"/>
  <c r="E163" i="13"/>
  <c r="K163" i="13"/>
  <c r="F162" i="13"/>
  <c r="L162" i="13"/>
  <c r="E162" i="13"/>
  <c r="K162" i="13"/>
  <c r="F161" i="13"/>
  <c r="L161" i="13"/>
  <c r="E161" i="13"/>
  <c r="K161" i="13"/>
  <c r="F160" i="13"/>
  <c r="L160" i="13"/>
  <c r="E160" i="13"/>
  <c r="K160" i="13"/>
  <c r="F159" i="13"/>
  <c r="L159" i="13"/>
  <c r="E159" i="13"/>
  <c r="K159" i="13"/>
  <c r="F158" i="13"/>
  <c r="L158" i="13"/>
  <c r="E158" i="13"/>
  <c r="K158" i="13"/>
  <c r="F157" i="13"/>
  <c r="L157" i="13"/>
  <c r="E157" i="13"/>
  <c r="K157" i="13"/>
  <c r="F156" i="13"/>
  <c r="L156" i="13"/>
  <c r="E156" i="13"/>
  <c r="K156" i="13"/>
  <c r="F155" i="13"/>
  <c r="L155" i="13"/>
  <c r="E155" i="13"/>
  <c r="K155" i="13"/>
  <c r="F154" i="13"/>
  <c r="L154" i="13"/>
  <c r="E154" i="13"/>
  <c r="K154" i="13"/>
  <c r="F153" i="13"/>
  <c r="L153" i="13"/>
  <c r="E153" i="13"/>
  <c r="K153" i="13"/>
  <c r="F152" i="13"/>
  <c r="L152" i="13"/>
  <c r="E152" i="13"/>
  <c r="K152" i="13"/>
  <c r="F151" i="13"/>
  <c r="L151" i="13"/>
  <c r="E151" i="13"/>
  <c r="K151" i="13"/>
  <c r="F150" i="13"/>
  <c r="L150" i="13"/>
  <c r="E150" i="13"/>
  <c r="K150" i="13"/>
  <c r="F149" i="13"/>
  <c r="L149" i="13"/>
  <c r="E149" i="13"/>
  <c r="K149" i="13"/>
  <c r="F148" i="13"/>
  <c r="L148" i="13"/>
  <c r="E148" i="13"/>
  <c r="K148" i="13"/>
  <c r="F147" i="13"/>
  <c r="L147" i="13"/>
  <c r="E147" i="13"/>
  <c r="K147" i="13"/>
  <c r="F146" i="13"/>
  <c r="L146" i="13"/>
  <c r="E146" i="13"/>
  <c r="K146" i="13"/>
  <c r="F145" i="13"/>
  <c r="L145" i="13"/>
  <c r="E145" i="13"/>
  <c r="K145" i="13"/>
  <c r="F144" i="13"/>
  <c r="L144" i="13"/>
  <c r="E144" i="13"/>
  <c r="K144" i="13"/>
  <c r="F143" i="13"/>
  <c r="L143" i="13"/>
  <c r="E143" i="13"/>
  <c r="K143" i="13"/>
  <c r="F142" i="13"/>
  <c r="L142" i="13"/>
  <c r="E142" i="13"/>
  <c r="K142" i="13"/>
  <c r="F141" i="13"/>
  <c r="L141" i="13"/>
  <c r="E141" i="13"/>
  <c r="K141" i="13"/>
  <c r="F140" i="13"/>
  <c r="L140" i="13"/>
  <c r="E140" i="13"/>
  <c r="K140" i="13"/>
  <c r="F139" i="13"/>
  <c r="L139" i="13"/>
  <c r="E139" i="13"/>
  <c r="K139" i="13"/>
  <c r="F138" i="13"/>
  <c r="L138" i="13"/>
  <c r="E138" i="13"/>
  <c r="K138" i="13"/>
  <c r="F137" i="13"/>
  <c r="L137" i="13"/>
  <c r="E137" i="13"/>
  <c r="K137" i="13"/>
  <c r="F136" i="13"/>
  <c r="L136" i="13"/>
  <c r="E136" i="13"/>
  <c r="K136" i="13"/>
  <c r="F135" i="13"/>
  <c r="L135" i="13"/>
  <c r="E135" i="13"/>
  <c r="K135" i="13"/>
  <c r="F134" i="13"/>
  <c r="L134" i="13"/>
  <c r="E134" i="13"/>
  <c r="K134" i="13"/>
  <c r="F133" i="13"/>
  <c r="L133" i="13"/>
  <c r="E133" i="13"/>
  <c r="K133" i="13"/>
  <c r="F132" i="13"/>
  <c r="L132" i="13"/>
  <c r="E132" i="13"/>
  <c r="K132" i="13"/>
  <c r="F131" i="13"/>
  <c r="L131" i="13"/>
  <c r="E131" i="13"/>
  <c r="K131" i="13"/>
  <c r="F130" i="13"/>
  <c r="L130" i="13"/>
  <c r="E130" i="13"/>
  <c r="K130" i="13"/>
  <c r="S129" i="13"/>
  <c r="R129" i="13"/>
  <c r="Q129" i="13"/>
  <c r="P129" i="13"/>
  <c r="F129" i="13"/>
  <c r="L129" i="13"/>
  <c r="E129" i="13"/>
  <c r="K129" i="13"/>
  <c r="S128" i="13"/>
  <c r="R128" i="13"/>
  <c r="Q128" i="13"/>
  <c r="P128" i="13"/>
  <c r="F128" i="13"/>
  <c r="L128" i="13"/>
  <c r="E128" i="13"/>
  <c r="K128" i="13"/>
  <c r="S127" i="13"/>
  <c r="R127" i="13"/>
  <c r="Q127" i="13"/>
  <c r="P127" i="13"/>
  <c r="F127" i="13"/>
  <c r="L127" i="13"/>
  <c r="E127" i="13"/>
  <c r="K127" i="13"/>
  <c r="S126" i="13"/>
  <c r="R126" i="13"/>
  <c r="Q126" i="13"/>
  <c r="P126" i="13"/>
  <c r="F126" i="13"/>
  <c r="L126" i="13"/>
  <c r="E126" i="13"/>
  <c r="K126" i="13"/>
  <c r="S125" i="13"/>
  <c r="R125" i="13"/>
  <c r="Q125" i="13"/>
  <c r="P125" i="13"/>
  <c r="F125" i="13"/>
  <c r="L125" i="13"/>
  <c r="E125" i="13"/>
  <c r="K125" i="13"/>
  <c r="S124" i="13"/>
  <c r="R124" i="13"/>
  <c r="Q124" i="13"/>
  <c r="P124" i="13"/>
  <c r="F124" i="13"/>
  <c r="L124" i="13"/>
  <c r="E124" i="13"/>
  <c r="K124" i="13"/>
  <c r="S123" i="13"/>
  <c r="R123" i="13"/>
  <c r="Q123" i="13"/>
  <c r="P123" i="13"/>
  <c r="F123" i="13"/>
  <c r="L123" i="13"/>
  <c r="E123" i="13"/>
  <c r="K123" i="13"/>
  <c r="S122" i="13"/>
  <c r="R122" i="13"/>
  <c r="Q122" i="13"/>
  <c r="P122" i="13"/>
  <c r="F122" i="13"/>
  <c r="L122" i="13"/>
  <c r="E122" i="13"/>
  <c r="K122" i="13"/>
  <c r="S121" i="13"/>
  <c r="R121" i="13"/>
  <c r="Q121" i="13"/>
  <c r="P121" i="13"/>
  <c r="F121" i="13"/>
  <c r="L121" i="13"/>
  <c r="E121" i="13"/>
  <c r="K121" i="13"/>
  <c r="S120" i="13"/>
  <c r="R120" i="13"/>
  <c r="Q120" i="13"/>
  <c r="P120" i="13"/>
  <c r="F120" i="13"/>
  <c r="L120" i="13"/>
  <c r="E120" i="13"/>
  <c r="K120" i="13"/>
  <c r="S119" i="13"/>
  <c r="R119" i="13"/>
  <c r="Q119" i="13"/>
  <c r="P119" i="13"/>
  <c r="F119" i="13"/>
  <c r="L119" i="13"/>
  <c r="E119" i="13"/>
  <c r="K119" i="13"/>
  <c r="S118" i="13"/>
  <c r="R118" i="13"/>
  <c r="Q118" i="13"/>
  <c r="P118" i="13"/>
  <c r="F118" i="13"/>
  <c r="L118" i="13"/>
  <c r="E118" i="13"/>
  <c r="K118" i="13"/>
  <c r="S117" i="13"/>
  <c r="R117" i="13"/>
  <c r="Q117" i="13"/>
  <c r="P117" i="13"/>
  <c r="F117" i="13"/>
  <c r="L117" i="13"/>
  <c r="E117" i="13"/>
  <c r="K117" i="13"/>
  <c r="S116" i="13"/>
  <c r="R116" i="13"/>
  <c r="Q116" i="13"/>
  <c r="P116" i="13"/>
  <c r="F116" i="13"/>
  <c r="L116" i="13"/>
  <c r="E116" i="13"/>
  <c r="K116" i="13"/>
  <c r="S115" i="13"/>
  <c r="R115" i="13"/>
  <c r="Q115" i="13"/>
  <c r="P115" i="13"/>
  <c r="F115" i="13"/>
  <c r="L115" i="13"/>
  <c r="E115" i="13"/>
  <c r="K115" i="13"/>
  <c r="S114" i="13"/>
  <c r="R114" i="13"/>
  <c r="Q114" i="13"/>
  <c r="P114" i="13"/>
  <c r="F114" i="13"/>
  <c r="L114" i="13"/>
  <c r="E114" i="13"/>
  <c r="K114" i="13"/>
  <c r="S113" i="13"/>
  <c r="R113" i="13"/>
  <c r="Q113" i="13"/>
  <c r="P113" i="13"/>
  <c r="F113" i="13"/>
  <c r="L113" i="13"/>
  <c r="E113" i="13"/>
  <c r="K113" i="13"/>
  <c r="S112" i="13"/>
  <c r="R112" i="13"/>
  <c r="Q112" i="13"/>
  <c r="P112" i="13"/>
  <c r="F112" i="13"/>
  <c r="L112" i="13"/>
  <c r="E112" i="13"/>
  <c r="K112" i="13"/>
  <c r="S111" i="13"/>
  <c r="R111" i="13"/>
  <c r="Q111" i="13"/>
  <c r="P111" i="13"/>
  <c r="F111" i="13"/>
  <c r="L111" i="13"/>
  <c r="E111" i="13"/>
  <c r="K111" i="13"/>
  <c r="S110" i="13"/>
  <c r="R110" i="13"/>
  <c r="Q110" i="13"/>
  <c r="P110" i="13"/>
  <c r="F110" i="13"/>
  <c r="L110" i="13"/>
  <c r="E110" i="13"/>
  <c r="K110" i="13"/>
  <c r="S109" i="13"/>
  <c r="R109" i="13"/>
  <c r="Q109" i="13"/>
  <c r="P109" i="13"/>
  <c r="F109" i="13"/>
  <c r="L109" i="13"/>
  <c r="E109" i="13"/>
  <c r="K109" i="13"/>
  <c r="S108" i="13"/>
  <c r="R108" i="13"/>
  <c r="Q108" i="13"/>
  <c r="P108" i="13"/>
  <c r="F108" i="13"/>
  <c r="L108" i="13"/>
  <c r="E108" i="13"/>
  <c r="K108" i="13"/>
  <c r="S107" i="13"/>
  <c r="R107" i="13"/>
  <c r="Q107" i="13"/>
  <c r="P107" i="13"/>
  <c r="F107" i="13"/>
  <c r="L107" i="13"/>
  <c r="E107" i="13"/>
  <c r="K107" i="13"/>
  <c r="S106" i="13"/>
  <c r="R106" i="13"/>
  <c r="Q106" i="13"/>
  <c r="P106" i="13"/>
  <c r="F106" i="13"/>
  <c r="L106" i="13"/>
  <c r="E106" i="13"/>
  <c r="K106" i="13"/>
  <c r="S105" i="13"/>
  <c r="R105" i="13"/>
  <c r="Q105" i="13"/>
  <c r="P105" i="13"/>
  <c r="F105" i="13"/>
  <c r="L105" i="13"/>
  <c r="E105" i="13"/>
  <c r="K105" i="13"/>
  <c r="S104" i="13"/>
  <c r="R104" i="13"/>
  <c r="Q104" i="13"/>
  <c r="P104" i="13"/>
  <c r="F104" i="13"/>
  <c r="L104" i="13"/>
  <c r="E104" i="13"/>
  <c r="K104" i="13"/>
  <c r="S103" i="13"/>
  <c r="R103" i="13"/>
  <c r="Q103" i="13"/>
  <c r="P103" i="13"/>
  <c r="F103" i="13"/>
  <c r="L103" i="13"/>
  <c r="E103" i="13"/>
  <c r="K103" i="13"/>
  <c r="S102" i="13"/>
  <c r="R102" i="13"/>
  <c r="Q102" i="13"/>
  <c r="P102" i="13"/>
  <c r="F102" i="13"/>
  <c r="L102" i="13"/>
  <c r="E102" i="13"/>
  <c r="K102" i="13"/>
  <c r="S101" i="13"/>
  <c r="R101" i="13"/>
  <c r="Q101" i="13"/>
  <c r="P101" i="13"/>
  <c r="F101" i="13"/>
  <c r="L101" i="13"/>
  <c r="E101" i="13"/>
  <c r="K101" i="13"/>
  <c r="S100" i="13"/>
  <c r="R100" i="13"/>
  <c r="Q100" i="13"/>
  <c r="P100" i="13"/>
  <c r="F100" i="13"/>
  <c r="L100" i="13"/>
  <c r="E100" i="13"/>
  <c r="K100" i="13"/>
  <c r="S99" i="13"/>
  <c r="R99" i="13"/>
  <c r="Q99" i="13"/>
  <c r="P99" i="13"/>
  <c r="F99" i="13"/>
  <c r="L99" i="13"/>
  <c r="E99" i="13"/>
  <c r="K99" i="13"/>
  <c r="S98" i="13"/>
  <c r="R98" i="13"/>
  <c r="Q98" i="13"/>
  <c r="P98" i="13"/>
  <c r="F98" i="13"/>
  <c r="L98" i="13"/>
  <c r="E98" i="13"/>
  <c r="K98" i="13"/>
  <c r="S97" i="13"/>
  <c r="R97" i="13"/>
  <c r="Q97" i="13"/>
  <c r="P97" i="13"/>
  <c r="F97" i="13"/>
  <c r="L97" i="13"/>
  <c r="E97" i="13"/>
  <c r="K97" i="13"/>
  <c r="S96" i="13"/>
  <c r="R96" i="13"/>
  <c r="Q96" i="13"/>
  <c r="P96" i="13"/>
  <c r="F96" i="13"/>
  <c r="L96" i="13"/>
  <c r="E96" i="13"/>
  <c r="K96" i="13"/>
  <c r="S95" i="13"/>
  <c r="R95" i="13"/>
  <c r="Q95" i="13"/>
  <c r="P95" i="13"/>
  <c r="F95" i="13"/>
  <c r="L95" i="13"/>
  <c r="E95" i="13"/>
  <c r="K95" i="13"/>
  <c r="S94" i="13"/>
  <c r="R94" i="13"/>
  <c r="Q94" i="13"/>
  <c r="P94" i="13"/>
  <c r="F94" i="13"/>
  <c r="L94" i="13"/>
  <c r="E94" i="13"/>
  <c r="K94" i="13"/>
  <c r="S93" i="13"/>
  <c r="R93" i="13"/>
  <c r="Q93" i="13"/>
  <c r="P93" i="13"/>
  <c r="F93" i="13"/>
  <c r="L93" i="13"/>
  <c r="E93" i="13"/>
  <c r="K93" i="13"/>
  <c r="S92" i="13"/>
  <c r="R92" i="13"/>
  <c r="Q92" i="13"/>
  <c r="P92" i="13"/>
  <c r="F92" i="13"/>
  <c r="L92" i="13"/>
  <c r="E92" i="13"/>
  <c r="K92" i="13"/>
  <c r="S91" i="13"/>
  <c r="R91" i="13"/>
  <c r="Q91" i="13"/>
  <c r="P91" i="13"/>
  <c r="F91" i="13"/>
  <c r="L91" i="13"/>
  <c r="E91" i="13"/>
  <c r="K91" i="13"/>
  <c r="S90" i="13"/>
  <c r="R90" i="13"/>
  <c r="Q90" i="13"/>
  <c r="P90" i="13"/>
  <c r="F90" i="13"/>
  <c r="L90" i="13"/>
  <c r="E90" i="13"/>
  <c r="K90" i="13"/>
  <c r="S89" i="13"/>
  <c r="R89" i="13"/>
  <c r="Q89" i="13"/>
  <c r="P89" i="13"/>
  <c r="F89" i="13"/>
  <c r="L89" i="13"/>
  <c r="E89" i="13"/>
  <c r="K89" i="13"/>
  <c r="S88" i="13"/>
  <c r="R88" i="13"/>
  <c r="Q88" i="13"/>
  <c r="P88" i="13"/>
  <c r="F88" i="13"/>
  <c r="L88" i="13"/>
  <c r="E88" i="13"/>
  <c r="K88" i="13"/>
  <c r="S87" i="13"/>
  <c r="R87" i="13"/>
  <c r="Q87" i="13"/>
  <c r="P87" i="13"/>
  <c r="F87" i="13"/>
  <c r="L87" i="13"/>
  <c r="E87" i="13"/>
  <c r="K87" i="13"/>
  <c r="S86" i="13"/>
  <c r="R86" i="13"/>
  <c r="Q86" i="13"/>
  <c r="P86" i="13"/>
  <c r="F86" i="13"/>
  <c r="L86" i="13"/>
  <c r="E86" i="13"/>
  <c r="K86" i="13"/>
  <c r="S85" i="13"/>
  <c r="R85" i="13"/>
  <c r="Q85" i="13"/>
  <c r="P85" i="13"/>
  <c r="F85" i="13"/>
  <c r="L85" i="13"/>
  <c r="E85" i="13"/>
  <c r="K85" i="13"/>
  <c r="S84" i="13"/>
  <c r="R84" i="13"/>
  <c r="Q84" i="13"/>
  <c r="P84" i="13"/>
  <c r="F84" i="13"/>
  <c r="L84" i="13"/>
  <c r="E84" i="13"/>
  <c r="K84" i="13"/>
  <c r="S83" i="13"/>
  <c r="R83" i="13"/>
  <c r="Q83" i="13"/>
  <c r="P83" i="13"/>
  <c r="F83" i="13"/>
  <c r="L83" i="13"/>
  <c r="E83" i="13"/>
  <c r="K83" i="13"/>
  <c r="S82" i="13"/>
  <c r="R82" i="13"/>
  <c r="Q82" i="13"/>
  <c r="P82" i="13"/>
  <c r="F82" i="13"/>
  <c r="L82" i="13"/>
  <c r="E82" i="13"/>
  <c r="K82" i="13"/>
  <c r="S81" i="13"/>
  <c r="R81" i="13"/>
  <c r="Q81" i="13"/>
  <c r="P81" i="13"/>
  <c r="F81" i="13"/>
  <c r="L81" i="13"/>
  <c r="E81" i="13"/>
  <c r="K81" i="13"/>
  <c r="S80" i="13"/>
  <c r="R80" i="13"/>
  <c r="Q80" i="13"/>
  <c r="P80" i="13"/>
  <c r="F80" i="13"/>
  <c r="L80" i="13"/>
  <c r="E80" i="13"/>
  <c r="K80" i="13"/>
  <c r="S79" i="13"/>
  <c r="R79" i="13"/>
  <c r="Q79" i="13"/>
  <c r="P79" i="13"/>
  <c r="F79" i="13"/>
  <c r="L79" i="13"/>
  <c r="E79" i="13"/>
  <c r="K79" i="13"/>
  <c r="S78" i="13"/>
  <c r="R78" i="13"/>
  <c r="Q78" i="13"/>
  <c r="P78" i="13"/>
  <c r="F78" i="13"/>
  <c r="L78" i="13"/>
  <c r="E78" i="13"/>
  <c r="K78" i="13"/>
  <c r="S77" i="13"/>
  <c r="R77" i="13"/>
  <c r="Q77" i="13"/>
  <c r="P77" i="13"/>
  <c r="F77" i="13"/>
  <c r="L77" i="13"/>
  <c r="E77" i="13"/>
  <c r="K77" i="13"/>
  <c r="S76" i="13"/>
  <c r="R76" i="13"/>
  <c r="Q76" i="13"/>
  <c r="P76" i="13"/>
  <c r="F76" i="13"/>
  <c r="L76" i="13"/>
  <c r="E76" i="13"/>
  <c r="K76" i="13"/>
  <c r="S75" i="13"/>
  <c r="R75" i="13"/>
  <c r="Q75" i="13"/>
  <c r="P75" i="13"/>
  <c r="F75" i="13"/>
  <c r="L75" i="13"/>
  <c r="E75" i="13"/>
  <c r="K75" i="13"/>
  <c r="S74" i="13"/>
  <c r="R74" i="13"/>
  <c r="Q74" i="13"/>
  <c r="P74" i="13"/>
  <c r="F74" i="13"/>
  <c r="L74" i="13"/>
  <c r="E74" i="13"/>
  <c r="K74" i="13"/>
  <c r="S73" i="13"/>
  <c r="R73" i="13"/>
  <c r="Q73" i="13"/>
  <c r="P73" i="13"/>
  <c r="F73" i="13"/>
  <c r="L73" i="13"/>
  <c r="E73" i="13"/>
  <c r="K73" i="13"/>
  <c r="S72" i="13"/>
  <c r="R72" i="13"/>
  <c r="Q72" i="13"/>
  <c r="P72" i="13"/>
  <c r="F72" i="13"/>
  <c r="L72" i="13"/>
  <c r="E72" i="13"/>
  <c r="K72" i="13"/>
  <c r="S71" i="13"/>
  <c r="R71" i="13"/>
  <c r="Q71" i="13"/>
  <c r="P71" i="13"/>
  <c r="F71" i="13"/>
  <c r="L71" i="13"/>
  <c r="E71" i="13"/>
  <c r="K71" i="13"/>
  <c r="S70" i="13"/>
  <c r="R70" i="13"/>
  <c r="Q70" i="13"/>
  <c r="P70" i="13"/>
  <c r="F70" i="13"/>
  <c r="L70" i="13"/>
  <c r="E70" i="13"/>
  <c r="K70" i="13"/>
  <c r="S69" i="13"/>
  <c r="R69" i="13"/>
  <c r="Q69" i="13"/>
  <c r="P69" i="13"/>
  <c r="F69" i="13"/>
  <c r="L69" i="13"/>
  <c r="E69" i="13"/>
  <c r="K69" i="13"/>
  <c r="S68" i="13"/>
  <c r="R68" i="13"/>
  <c r="Q68" i="13"/>
  <c r="P68" i="13"/>
  <c r="F68" i="13"/>
  <c r="L68" i="13"/>
  <c r="E68" i="13"/>
  <c r="K68" i="13"/>
  <c r="S67" i="13"/>
  <c r="R67" i="13"/>
  <c r="Q67" i="13"/>
  <c r="P67" i="13"/>
  <c r="F67" i="13"/>
  <c r="L67" i="13"/>
  <c r="E67" i="13"/>
  <c r="K67" i="13"/>
  <c r="S66" i="13"/>
  <c r="R66" i="13"/>
  <c r="Q66" i="13"/>
  <c r="P66" i="13"/>
  <c r="F66" i="13"/>
  <c r="L66" i="13"/>
  <c r="E66" i="13"/>
  <c r="K66" i="13"/>
  <c r="S65" i="13"/>
  <c r="R65" i="13"/>
  <c r="Q65" i="13"/>
  <c r="P65" i="13"/>
  <c r="F65" i="13"/>
  <c r="L65" i="13"/>
  <c r="E65" i="13"/>
  <c r="K65" i="13"/>
  <c r="S64" i="13"/>
  <c r="R64" i="13"/>
  <c r="Q64" i="13"/>
  <c r="P64" i="13"/>
  <c r="F64" i="13"/>
  <c r="L64" i="13"/>
  <c r="E64" i="13"/>
  <c r="K64" i="13"/>
  <c r="S63" i="13"/>
  <c r="R63" i="13"/>
  <c r="Q63" i="13"/>
  <c r="P63" i="13"/>
  <c r="F63" i="13"/>
  <c r="L63" i="13"/>
  <c r="E63" i="13"/>
  <c r="K63" i="13"/>
  <c r="S62" i="13"/>
  <c r="R62" i="13"/>
  <c r="Q62" i="13"/>
  <c r="P62" i="13"/>
  <c r="F62" i="13"/>
  <c r="L62" i="13"/>
  <c r="E62" i="13"/>
  <c r="K62" i="13"/>
  <c r="S61" i="13"/>
  <c r="R61" i="13"/>
  <c r="Q61" i="13"/>
  <c r="P61" i="13"/>
  <c r="F61" i="13"/>
  <c r="L61" i="13"/>
  <c r="E61" i="13"/>
  <c r="K61" i="13"/>
  <c r="S60" i="13"/>
  <c r="R60" i="13"/>
  <c r="Q60" i="13"/>
  <c r="P60" i="13"/>
  <c r="F60" i="13"/>
  <c r="L60" i="13"/>
  <c r="E60" i="13"/>
  <c r="K60" i="13"/>
  <c r="S59" i="13"/>
  <c r="R59" i="13"/>
  <c r="Q59" i="13"/>
  <c r="P59" i="13"/>
  <c r="F59" i="13"/>
  <c r="L59" i="13"/>
  <c r="E59" i="13"/>
  <c r="K59" i="13"/>
  <c r="S58" i="13"/>
  <c r="R58" i="13"/>
  <c r="Q58" i="13"/>
  <c r="P58" i="13"/>
  <c r="F58" i="13"/>
  <c r="L58" i="13"/>
  <c r="E58" i="13"/>
  <c r="K58" i="13"/>
  <c r="S57" i="13"/>
  <c r="R57" i="13"/>
  <c r="Q57" i="13"/>
  <c r="P57" i="13"/>
  <c r="F57" i="13"/>
  <c r="L57" i="13"/>
  <c r="E57" i="13"/>
  <c r="K57" i="13"/>
  <c r="S56" i="13"/>
  <c r="R56" i="13"/>
  <c r="Q56" i="13"/>
  <c r="P56" i="13"/>
  <c r="F56" i="13"/>
  <c r="L56" i="13"/>
  <c r="E56" i="13"/>
  <c r="K56" i="13"/>
  <c r="S55" i="13"/>
  <c r="R55" i="13"/>
  <c r="Q55" i="13"/>
  <c r="P55" i="13"/>
  <c r="F55" i="13"/>
  <c r="L55" i="13"/>
  <c r="E55" i="13"/>
  <c r="K55" i="13"/>
  <c r="S54" i="13"/>
  <c r="R54" i="13"/>
  <c r="Q54" i="13"/>
  <c r="P54" i="13"/>
  <c r="F54" i="13"/>
  <c r="L54" i="13"/>
  <c r="E54" i="13"/>
  <c r="K54" i="13"/>
  <c r="S53" i="13"/>
  <c r="R53" i="13"/>
  <c r="Q53" i="13"/>
  <c r="P53" i="13"/>
  <c r="F53" i="13"/>
  <c r="L53" i="13"/>
  <c r="E53" i="13"/>
  <c r="K53" i="13"/>
  <c r="S52" i="13"/>
  <c r="R52" i="13"/>
  <c r="Q52" i="13"/>
  <c r="P52" i="13"/>
  <c r="F52" i="13"/>
  <c r="L52" i="13"/>
  <c r="E52" i="13"/>
  <c r="K52" i="13"/>
  <c r="S51" i="13"/>
  <c r="R51" i="13"/>
  <c r="Q51" i="13"/>
  <c r="P51" i="13"/>
  <c r="F51" i="13"/>
  <c r="L51" i="13"/>
  <c r="E51" i="13"/>
  <c r="K51" i="13"/>
  <c r="S50" i="13"/>
  <c r="R50" i="13"/>
  <c r="Q50" i="13"/>
  <c r="P50" i="13"/>
  <c r="F50" i="13"/>
  <c r="L50" i="13"/>
  <c r="E50" i="13"/>
  <c r="K50" i="13"/>
  <c r="S49" i="13"/>
  <c r="R49" i="13"/>
  <c r="Q49" i="13"/>
  <c r="P49" i="13"/>
  <c r="F49" i="13"/>
  <c r="L49" i="13"/>
  <c r="E49" i="13"/>
  <c r="K49" i="13"/>
  <c r="S48" i="13"/>
  <c r="R48" i="13"/>
  <c r="Q48" i="13"/>
  <c r="P48" i="13"/>
  <c r="F48" i="13"/>
  <c r="L48" i="13"/>
  <c r="E48" i="13"/>
  <c r="K48" i="13"/>
  <c r="S47" i="13"/>
  <c r="R47" i="13"/>
  <c r="Q47" i="13"/>
  <c r="P47" i="13"/>
  <c r="F47" i="13"/>
  <c r="L47" i="13"/>
  <c r="E47" i="13"/>
  <c r="K47" i="13"/>
  <c r="S46" i="13"/>
  <c r="R46" i="13"/>
  <c r="Q46" i="13"/>
  <c r="P46" i="13"/>
  <c r="F46" i="13"/>
  <c r="L46" i="13"/>
  <c r="E46" i="13"/>
  <c r="K46" i="13"/>
  <c r="S45" i="13"/>
  <c r="R45" i="13"/>
  <c r="Q45" i="13"/>
  <c r="P45" i="13"/>
  <c r="F45" i="13"/>
  <c r="L45" i="13"/>
  <c r="E45" i="13"/>
  <c r="K45" i="13"/>
  <c r="S44" i="13"/>
  <c r="R44" i="13"/>
  <c r="Q44" i="13"/>
  <c r="P44" i="13"/>
  <c r="F44" i="13"/>
  <c r="L44" i="13"/>
  <c r="E44" i="13"/>
  <c r="K44" i="13"/>
  <c r="S43" i="13"/>
  <c r="R43" i="13"/>
  <c r="Q43" i="13"/>
  <c r="P43" i="13"/>
  <c r="F43" i="13"/>
  <c r="L43" i="13"/>
  <c r="E43" i="13"/>
  <c r="K43" i="13"/>
  <c r="S42" i="13"/>
  <c r="R42" i="13"/>
  <c r="Q42" i="13"/>
  <c r="P42" i="13"/>
  <c r="F42" i="13"/>
  <c r="L42" i="13"/>
  <c r="E42" i="13"/>
  <c r="K42" i="13"/>
  <c r="S41" i="13"/>
  <c r="R41" i="13"/>
  <c r="Q41" i="13"/>
  <c r="P41" i="13"/>
  <c r="F41" i="13"/>
  <c r="L41" i="13"/>
  <c r="E41" i="13"/>
  <c r="K41" i="13"/>
  <c r="S40" i="13"/>
  <c r="R40" i="13"/>
  <c r="Q40" i="13"/>
  <c r="P40" i="13"/>
  <c r="F40" i="13"/>
  <c r="L40" i="13"/>
  <c r="E40" i="13"/>
  <c r="K40" i="13"/>
  <c r="S39" i="13"/>
  <c r="R39" i="13"/>
  <c r="Q39" i="13"/>
  <c r="P39" i="13"/>
  <c r="F39" i="13"/>
  <c r="L39" i="13"/>
  <c r="E39" i="13"/>
  <c r="K39" i="13"/>
  <c r="S38" i="13"/>
  <c r="R38" i="13"/>
  <c r="Q38" i="13"/>
  <c r="P38" i="13"/>
  <c r="F38" i="13"/>
  <c r="L38" i="13"/>
  <c r="E38" i="13"/>
  <c r="K38" i="13"/>
  <c r="S37" i="13"/>
  <c r="R37" i="13"/>
  <c r="Q37" i="13"/>
  <c r="P37" i="13"/>
  <c r="F37" i="13"/>
  <c r="L37" i="13"/>
  <c r="E37" i="13"/>
  <c r="K37" i="13"/>
  <c r="S36" i="13"/>
  <c r="R36" i="13"/>
  <c r="Q36" i="13"/>
  <c r="P36" i="13"/>
  <c r="F36" i="13"/>
  <c r="L36" i="13"/>
  <c r="E36" i="13"/>
  <c r="K36" i="13"/>
  <c r="S35" i="13"/>
  <c r="R35" i="13"/>
  <c r="Q35" i="13"/>
  <c r="P35" i="13"/>
  <c r="F35" i="13"/>
  <c r="L35" i="13"/>
  <c r="E35" i="13"/>
  <c r="K35" i="13"/>
  <c r="S34" i="13"/>
  <c r="R34" i="13"/>
  <c r="Q34" i="13"/>
  <c r="P34" i="13"/>
  <c r="F34" i="13"/>
  <c r="L34" i="13"/>
  <c r="E34" i="13"/>
  <c r="K34" i="13"/>
  <c r="S33" i="13"/>
  <c r="R33" i="13"/>
  <c r="Q33" i="13"/>
  <c r="P33" i="13"/>
  <c r="F33" i="13"/>
  <c r="L33" i="13"/>
  <c r="E33" i="13"/>
  <c r="K33" i="13"/>
  <c r="S32" i="13"/>
  <c r="R32" i="13"/>
  <c r="Q32" i="13"/>
  <c r="P32" i="13"/>
  <c r="F32" i="13"/>
  <c r="L32" i="13"/>
  <c r="E32" i="13"/>
  <c r="K32" i="13"/>
  <c r="S31" i="13"/>
  <c r="R31" i="13"/>
  <c r="Q31" i="13"/>
  <c r="P31" i="13"/>
  <c r="F31" i="13"/>
  <c r="L31" i="13"/>
  <c r="E31" i="13"/>
  <c r="K31" i="13"/>
  <c r="S30" i="13"/>
  <c r="R30" i="13"/>
  <c r="Q30" i="13"/>
  <c r="P30" i="13"/>
  <c r="F30" i="13"/>
  <c r="L30" i="13"/>
  <c r="E30" i="13"/>
  <c r="K30" i="13"/>
  <c r="S29" i="13"/>
  <c r="R29" i="13"/>
  <c r="Q29" i="13"/>
  <c r="P29" i="13"/>
  <c r="F29" i="13"/>
  <c r="L29" i="13"/>
  <c r="E29" i="13"/>
  <c r="K29" i="13"/>
  <c r="S28" i="13"/>
  <c r="R28" i="13"/>
  <c r="Q28" i="13"/>
  <c r="P28" i="13"/>
  <c r="F28" i="13"/>
  <c r="L28" i="13"/>
  <c r="E28" i="13"/>
  <c r="K28" i="13"/>
  <c r="S27" i="13"/>
  <c r="R27" i="13"/>
  <c r="Q27" i="13"/>
  <c r="P27" i="13"/>
  <c r="F27" i="13"/>
  <c r="L27" i="13"/>
  <c r="E27" i="13"/>
  <c r="K27" i="13"/>
  <c r="S26" i="13"/>
  <c r="R26" i="13"/>
  <c r="Q26" i="13"/>
  <c r="P26" i="13"/>
  <c r="F26" i="13"/>
  <c r="L26" i="13"/>
  <c r="E26" i="13"/>
  <c r="K26" i="13"/>
  <c r="S25" i="13"/>
  <c r="R25" i="13"/>
  <c r="Q25" i="13"/>
  <c r="P25" i="13"/>
  <c r="F25" i="13"/>
  <c r="L25" i="13"/>
  <c r="E25" i="13"/>
  <c r="K25" i="13"/>
  <c r="S24" i="13"/>
  <c r="R24" i="13"/>
  <c r="Q24" i="13"/>
  <c r="P24" i="13"/>
  <c r="F24" i="13"/>
  <c r="L24" i="13"/>
  <c r="E24" i="13"/>
  <c r="K24" i="13"/>
  <c r="S23" i="13"/>
  <c r="R23" i="13"/>
  <c r="Q23" i="13"/>
  <c r="P23" i="13"/>
  <c r="F23" i="13"/>
  <c r="L23" i="13"/>
  <c r="E23" i="13"/>
  <c r="K23" i="13"/>
  <c r="S22" i="13"/>
  <c r="R22" i="13"/>
  <c r="Q22" i="13"/>
  <c r="P22" i="13"/>
  <c r="F22" i="13"/>
  <c r="L22" i="13"/>
  <c r="E22" i="13"/>
  <c r="K22" i="13"/>
  <c r="S21" i="13"/>
  <c r="R21" i="13"/>
  <c r="Q21" i="13"/>
  <c r="P21" i="13"/>
  <c r="F21" i="13"/>
  <c r="L21" i="13"/>
  <c r="E21" i="13"/>
  <c r="K21" i="13"/>
  <c r="S20" i="13"/>
  <c r="R20" i="13"/>
  <c r="Q20" i="13"/>
  <c r="P20" i="13"/>
  <c r="F20" i="13"/>
  <c r="L20" i="13"/>
  <c r="E20" i="13"/>
  <c r="K20" i="13"/>
  <c r="S19" i="13"/>
  <c r="R19" i="13"/>
  <c r="Q19" i="13"/>
  <c r="P19" i="13"/>
  <c r="F19" i="13"/>
  <c r="L19" i="13"/>
  <c r="E19" i="13"/>
  <c r="K19" i="13"/>
  <c r="S18" i="13"/>
  <c r="R18" i="13"/>
  <c r="Q18" i="13"/>
  <c r="P18" i="13"/>
  <c r="F18" i="13"/>
  <c r="L18" i="13"/>
  <c r="E18" i="13"/>
  <c r="K18" i="13"/>
  <c r="S17" i="13"/>
  <c r="R17" i="13"/>
  <c r="Q17" i="13"/>
  <c r="P17" i="13"/>
  <c r="F17" i="13"/>
  <c r="L17" i="13"/>
  <c r="E17" i="13"/>
  <c r="K17" i="13"/>
  <c r="S16" i="13"/>
  <c r="R16" i="13"/>
  <c r="Q16" i="13"/>
  <c r="P16" i="13"/>
  <c r="F16" i="13"/>
  <c r="L16" i="13"/>
  <c r="E16" i="13"/>
  <c r="K16" i="13"/>
  <c r="S15" i="13"/>
  <c r="R15" i="13"/>
  <c r="Q15" i="13"/>
  <c r="P15" i="13"/>
  <c r="F15" i="13"/>
  <c r="L15" i="13"/>
  <c r="E15" i="13"/>
  <c r="K15" i="13"/>
  <c r="S14" i="13"/>
  <c r="R14" i="13"/>
  <c r="Q14" i="13"/>
  <c r="P14" i="13"/>
  <c r="F14" i="13"/>
  <c r="L14" i="13"/>
  <c r="E14" i="13"/>
  <c r="K14" i="13"/>
  <c r="S13" i="13"/>
  <c r="R13" i="13"/>
  <c r="Q13" i="13"/>
  <c r="P13" i="13"/>
  <c r="F13" i="13"/>
  <c r="L13" i="13"/>
  <c r="E13" i="13"/>
  <c r="K13" i="13"/>
  <c r="S12" i="13"/>
  <c r="R12" i="13"/>
  <c r="Q12" i="13"/>
  <c r="P12" i="13"/>
  <c r="F12" i="13"/>
  <c r="L12" i="13"/>
  <c r="E12" i="13"/>
  <c r="K12" i="13"/>
  <c r="S11" i="13"/>
  <c r="R11" i="13"/>
  <c r="Q11" i="13"/>
  <c r="P11" i="13"/>
  <c r="F11" i="13"/>
  <c r="L11" i="13"/>
  <c r="E11" i="13"/>
  <c r="K11" i="13"/>
  <c r="S10" i="13"/>
  <c r="R10" i="13"/>
  <c r="Q10" i="13"/>
  <c r="P10" i="13"/>
  <c r="F10" i="13"/>
  <c r="L10" i="13"/>
  <c r="E10" i="13"/>
  <c r="K10" i="13"/>
  <c r="S9" i="13"/>
  <c r="R9" i="13"/>
  <c r="Q9" i="13"/>
  <c r="P9" i="13"/>
  <c r="F9" i="13"/>
  <c r="L9" i="13"/>
  <c r="E9" i="13"/>
  <c r="K9" i="13"/>
  <c r="S8" i="13"/>
  <c r="R8" i="13"/>
  <c r="Q8" i="13"/>
  <c r="P8" i="13"/>
  <c r="F8" i="13"/>
  <c r="L8" i="13"/>
  <c r="E8" i="13"/>
  <c r="K8" i="13"/>
  <c r="S7" i="13"/>
  <c r="R7" i="13"/>
  <c r="Q7" i="13"/>
  <c r="P7" i="13"/>
  <c r="F7" i="13"/>
  <c r="L7" i="13"/>
  <c r="E7" i="13"/>
  <c r="K7" i="13"/>
  <c r="S6" i="13"/>
  <c r="R6" i="13"/>
  <c r="Q6" i="13"/>
  <c r="P6" i="13"/>
  <c r="F6" i="13"/>
  <c r="L6" i="13"/>
  <c r="E6" i="13"/>
  <c r="K6" i="13"/>
  <c r="S5" i="13"/>
  <c r="R5" i="13"/>
  <c r="Q5" i="13"/>
  <c r="P5" i="13"/>
  <c r="F5" i="13"/>
  <c r="L5" i="13"/>
  <c r="E5" i="13"/>
  <c r="K5" i="13"/>
  <c r="S4" i="13"/>
  <c r="F4" i="13"/>
  <c r="L4" i="13"/>
  <c r="R4" i="13"/>
  <c r="Q4" i="13"/>
  <c r="E4" i="13"/>
  <c r="K4" i="13"/>
  <c r="P4" i="13"/>
  <c r="F3" i="13"/>
  <c r="L3" i="13"/>
  <c r="S3" i="13"/>
  <c r="F2" i="13"/>
  <c r="L2" i="13"/>
  <c r="R3" i="13"/>
  <c r="E3" i="13"/>
  <c r="K3" i="13"/>
  <c r="Q3" i="13"/>
  <c r="E2" i="13"/>
  <c r="K2" i="13"/>
  <c r="P3" i="13"/>
  <c r="C1" i="12"/>
  <c r="D1" i="12"/>
  <c r="F255" i="12"/>
  <c r="L255" i="12"/>
  <c r="E255" i="12"/>
  <c r="K255" i="12"/>
  <c r="F254" i="12"/>
  <c r="L254" i="12"/>
  <c r="E254" i="12"/>
  <c r="K254" i="12"/>
  <c r="F253" i="12"/>
  <c r="L253" i="12"/>
  <c r="E253" i="12"/>
  <c r="K253" i="12"/>
  <c r="F252" i="12"/>
  <c r="L252" i="12"/>
  <c r="E252" i="12"/>
  <c r="K252" i="12"/>
  <c r="F251" i="12"/>
  <c r="L251" i="12"/>
  <c r="E251" i="12"/>
  <c r="K251" i="12"/>
  <c r="F250" i="12"/>
  <c r="L250" i="12"/>
  <c r="E250" i="12"/>
  <c r="K250" i="12"/>
  <c r="F249" i="12"/>
  <c r="L249" i="12"/>
  <c r="E249" i="12"/>
  <c r="K249" i="12"/>
  <c r="F248" i="12"/>
  <c r="L248" i="12"/>
  <c r="E248" i="12"/>
  <c r="K248" i="12"/>
  <c r="F247" i="12"/>
  <c r="L247" i="12"/>
  <c r="E247" i="12"/>
  <c r="K247" i="12"/>
  <c r="F246" i="12"/>
  <c r="L246" i="12"/>
  <c r="E246" i="12"/>
  <c r="K246" i="12"/>
  <c r="F245" i="12"/>
  <c r="L245" i="12"/>
  <c r="E245" i="12"/>
  <c r="K245" i="12"/>
  <c r="F244" i="12"/>
  <c r="L244" i="12"/>
  <c r="E244" i="12"/>
  <c r="K244" i="12"/>
  <c r="F243" i="12"/>
  <c r="L243" i="12"/>
  <c r="E243" i="12"/>
  <c r="K243" i="12"/>
  <c r="F242" i="12"/>
  <c r="L242" i="12"/>
  <c r="E242" i="12"/>
  <c r="K242" i="12"/>
  <c r="F241" i="12"/>
  <c r="L241" i="12"/>
  <c r="E241" i="12"/>
  <c r="K241" i="12"/>
  <c r="F240" i="12"/>
  <c r="L240" i="12"/>
  <c r="E240" i="12"/>
  <c r="K240" i="12"/>
  <c r="F239" i="12"/>
  <c r="L239" i="12"/>
  <c r="E239" i="12"/>
  <c r="K239" i="12"/>
  <c r="F238" i="12"/>
  <c r="L238" i="12"/>
  <c r="E238" i="12"/>
  <c r="K238" i="12"/>
  <c r="F237" i="12"/>
  <c r="L237" i="12"/>
  <c r="E237" i="12"/>
  <c r="K237" i="12"/>
  <c r="F236" i="12"/>
  <c r="L236" i="12"/>
  <c r="E236" i="12"/>
  <c r="K236" i="12"/>
  <c r="F235" i="12"/>
  <c r="L235" i="12"/>
  <c r="E235" i="12"/>
  <c r="K235" i="12"/>
  <c r="F234" i="12"/>
  <c r="L234" i="12"/>
  <c r="E234" i="12"/>
  <c r="K234" i="12"/>
  <c r="F233" i="12"/>
  <c r="L233" i="12"/>
  <c r="E233" i="12"/>
  <c r="K233" i="12"/>
  <c r="F232" i="12"/>
  <c r="L232" i="12"/>
  <c r="E232" i="12"/>
  <c r="K232" i="12"/>
  <c r="F231" i="12"/>
  <c r="L231" i="12"/>
  <c r="E231" i="12"/>
  <c r="K231" i="12"/>
  <c r="F230" i="12"/>
  <c r="L230" i="12"/>
  <c r="E230" i="12"/>
  <c r="K230" i="12"/>
  <c r="F229" i="12"/>
  <c r="L229" i="12"/>
  <c r="E229" i="12"/>
  <c r="K229" i="12"/>
  <c r="F228" i="12"/>
  <c r="L228" i="12"/>
  <c r="E228" i="12"/>
  <c r="K228" i="12"/>
  <c r="F227" i="12"/>
  <c r="L227" i="12"/>
  <c r="E227" i="12"/>
  <c r="K227" i="12"/>
  <c r="F226" i="12"/>
  <c r="L226" i="12"/>
  <c r="E226" i="12"/>
  <c r="K226" i="12"/>
  <c r="F225" i="12"/>
  <c r="L225" i="12"/>
  <c r="E225" i="12"/>
  <c r="K225" i="12"/>
  <c r="F224" i="12"/>
  <c r="L224" i="12"/>
  <c r="E224" i="12"/>
  <c r="K224" i="12"/>
  <c r="F223" i="12"/>
  <c r="L223" i="12"/>
  <c r="E223" i="12"/>
  <c r="K223" i="12"/>
  <c r="F222" i="12"/>
  <c r="L222" i="12"/>
  <c r="E222" i="12"/>
  <c r="K222" i="12"/>
  <c r="F221" i="12"/>
  <c r="L221" i="12"/>
  <c r="E221" i="12"/>
  <c r="K221" i="12"/>
  <c r="F220" i="12"/>
  <c r="L220" i="12"/>
  <c r="E220" i="12"/>
  <c r="K220" i="12"/>
  <c r="F219" i="12"/>
  <c r="L219" i="12"/>
  <c r="E219" i="12"/>
  <c r="K219" i="12"/>
  <c r="F218" i="12"/>
  <c r="L218" i="12"/>
  <c r="E218" i="12"/>
  <c r="K218" i="12"/>
  <c r="F217" i="12"/>
  <c r="L217" i="12"/>
  <c r="E217" i="12"/>
  <c r="K217" i="12"/>
  <c r="F216" i="12"/>
  <c r="L216" i="12"/>
  <c r="E216" i="12"/>
  <c r="K216" i="12"/>
  <c r="F215" i="12"/>
  <c r="L215" i="12"/>
  <c r="E215" i="12"/>
  <c r="K215" i="12"/>
  <c r="F214" i="12"/>
  <c r="L214" i="12"/>
  <c r="E214" i="12"/>
  <c r="K214" i="12"/>
  <c r="F213" i="12"/>
  <c r="L213" i="12"/>
  <c r="E213" i="12"/>
  <c r="K213" i="12"/>
  <c r="F212" i="12"/>
  <c r="L212" i="12"/>
  <c r="E212" i="12"/>
  <c r="K212" i="12"/>
  <c r="F211" i="12"/>
  <c r="L211" i="12"/>
  <c r="E211" i="12"/>
  <c r="K211" i="12"/>
  <c r="F210" i="12"/>
  <c r="L210" i="12"/>
  <c r="E210" i="12"/>
  <c r="K210" i="12"/>
  <c r="F209" i="12"/>
  <c r="L209" i="12"/>
  <c r="E209" i="12"/>
  <c r="K209" i="12"/>
  <c r="F208" i="12"/>
  <c r="L208" i="12"/>
  <c r="E208" i="12"/>
  <c r="K208" i="12"/>
  <c r="F207" i="12"/>
  <c r="L207" i="12"/>
  <c r="E207" i="12"/>
  <c r="K207" i="12"/>
  <c r="F206" i="12"/>
  <c r="L206" i="12"/>
  <c r="E206" i="12"/>
  <c r="K206" i="12"/>
  <c r="F205" i="12"/>
  <c r="L205" i="12"/>
  <c r="E205" i="12"/>
  <c r="K205" i="12"/>
  <c r="F204" i="12"/>
  <c r="L204" i="12"/>
  <c r="E204" i="12"/>
  <c r="K204" i="12"/>
  <c r="F203" i="12"/>
  <c r="L203" i="12"/>
  <c r="E203" i="12"/>
  <c r="K203" i="12"/>
  <c r="F202" i="12"/>
  <c r="L202" i="12"/>
  <c r="E202" i="12"/>
  <c r="K202" i="12"/>
  <c r="F201" i="12"/>
  <c r="L201" i="12"/>
  <c r="E201" i="12"/>
  <c r="K201" i="12"/>
  <c r="F200" i="12"/>
  <c r="L200" i="12"/>
  <c r="E200" i="12"/>
  <c r="K200" i="12"/>
  <c r="F199" i="12"/>
  <c r="L199" i="12"/>
  <c r="E199" i="12"/>
  <c r="K199" i="12"/>
  <c r="F198" i="12"/>
  <c r="L198" i="12"/>
  <c r="E198" i="12"/>
  <c r="K198" i="12"/>
  <c r="F197" i="12"/>
  <c r="L197" i="12"/>
  <c r="E197" i="12"/>
  <c r="K197" i="12"/>
  <c r="F196" i="12"/>
  <c r="L196" i="12"/>
  <c r="E196" i="12"/>
  <c r="K196" i="12"/>
  <c r="F195" i="12"/>
  <c r="L195" i="12"/>
  <c r="E195" i="12"/>
  <c r="K195" i="12"/>
  <c r="F194" i="12"/>
  <c r="L194" i="12"/>
  <c r="E194" i="12"/>
  <c r="K194" i="12"/>
  <c r="F193" i="12"/>
  <c r="L193" i="12"/>
  <c r="E193" i="12"/>
  <c r="K193" i="12"/>
  <c r="F192" i="12"/>
  <c r="L192" i="12"/>
  <c r="E192" i="12"/>
  <c r="K192" i="12"/>
  <c r="F191" i="12"/>
  <c r="L191" i="12"/>
  <c r="E191" i="12"/>
  <c r="K191" i="12"/>
  <c r="F190" i="12"/>
  <c r="L190" i="12"/>
  <c r="E190" i="12"/>
  <c r="K190" i="12"/>
  <c r="F189" i="12"/>
  <c r="L189" i="12"/>
  <c r="E189" i="12"/>
  <c r="K189" i="12"/>
  <c r="F188" i="12"/>
  <c r="L188" i="12"/>
  <c r="E188" i="12"/>
  <c r="K188" i="12"/>
  <c r="F187" i="12"/>
  <c r="L187" i="12"/>
  <c r="E187" i="12"/>
  <c r="K187" i="12"/>
  <c r="F186" i="12"/>
  <c r="L186" i="12"/>
  <c r="E186" i="12"/>
  <c r="K186" i="12"/>
  <c r="F185" i="12"/>
  <c r="L185" i="12"/>
  <c r="E185" i="12"/>
  <c r="K185" i="12"/>
  <c r="F184" i="12"/>
  <c r="L184" i="12"/>
  <c r="E184" i="12"/>
  <c r="K184" i="12"/>
  <c r="F183" i="12"/>
  <c r="L183" i="12"/>
  <c r="E183" i="12"/>
  <c r="K183" i="12"/>
  <c r="F182" i="12"/>
  <c r="L182" i="12"/>
  <c r="E182" i="12"/>
  <c r="K182" i="12"/>
  <c r="F181" i="12"/>
  <c r="L181" i="12"/>
  <c r="E181" i="12"/>
  <c r="K181" i="12"/>
  <c r="F180" i="12"/>
  <c r="L180" i="12"/>
  <c r="E180" i="12"/>
  <c r="K180" i="12"/>
  <c r="F179" i="12"/>
  <c r="L179" i="12"/>
  <c r="E179" i="12"/>
  <c r="K179" i="12"/>
  <c r="F178" i="12"/>
  <c r="L178" i="12"/>
  <c r="E178" i="12"/>
  <c r="K178" i="12"/>
  <c r="F177" i="12"/>
  <c r="L177" i="12"/>
  <c r="E177" i="12"/>
  <c r="K177" i="12"/>
  <c r="F176" i="12"/>
  <c r="L176" i="12"/>
  <c r="E176" i="12"/>
  <c r="K176" i="12"/>
  <c r="F175" i="12"/>
  <c r="L175" i="12"/>
  <c r="E175" i="12"/>
  <c r="K175" i="12"/>
  <c r="F174" i="12"/>
  <c r="L174" i="12"/>
  <c r="E174" i="12"/>
  <c r="K174" i="12"/>
  <c r="F173" i="12"/>
  <c r="L173" i="12"/>
  <c r="E173" i="12"/>
  <c r="K173" i="12"/>
  <c r="F172" i="12"/>
  <c r="L172" i="12"/>
  <c r="E172" i="12"/>
  <c r="K172" i="12"/>
  <c r="F171" i="12"/>
  <c r="L171" i="12"/>
  <c r="E171" i="12"/>
  <c r="K171" i="12"/>
  <c r="F170" i="12"/>
  <c r="L170" i="12"/>
  <c r="E170" i="12"/>
  <c r="K170" i="12"/>
  <c r="F169" i="12"/>
  <c r="L169" i="12"/>
  <c r="E169" i="12"/>
  <c r="K169" i="12"/>
  <c r="F168" i="12"/>
  <c r="L168" i="12"/>
  <c r="E168" i="12"/>
  <c r="K168" i="12"/>
  <c r="F167" i="12"/>
  <c r="L167" i="12"/>
  <c r="E167" i="12"/>
  <c r="K167" i="12"/>
  <c r="F166" i="12"/>
  <c r="L166" i="12"/>
  <c r="E166" i="12"/>
  <c r="K166" i="12"/>
  <c r="F165" i="12"/>
  <c r="L165" i="12"/>
  <c r="E165" i="12"/>
  <c r="K165" i="12"/>
  <c r="F164" i="12"/>
  <c r="L164" i="12"/>
  <c r="E164" i="12"/>
  <c r="K164" i="12"/>
  <c r="F163" i="12"/>
  <c r="L163" i="12"/>
  <c r="E163" i="12"/>
  <c r="K163" i="12"/>
  <c r="F162" i="12"/>
  <c r="L162" i="12"/>
  <c r="E162" i="12"/>
  <c r="K162" i="12"/>
  <c r="F161" i="12"/>
  <c r="L161" i="12"/>
  <c r="E161" i="12"/>
  <c r="K161" i="12"/>
  <c r="F160" i="12"/>
  <c r="L160" i="12"/>
  <c r="E160" i="12"/>
  <c r="K160" i="12"/>
  <c r="F159" i="12"/>
  <c r="L159" i="12"/>
  <c r="E159" i="12"/>
  <c r="K159" i="12"/>
  <c r="F158" i="12"/>
  <c r="L158" i="12"/>
  <c r="E158" i="12"/>
  <c r="K158" i="12"/>
  <c r="F157" i="12"/>
  <c r="L157" i="12"/>
  <c r="E157" i="12"/>
  <c r="K157" i="12"/>
  <c r="F156" i="12"/>
  <c r="L156" i="12"/>
  <c r="E156" i="12"/>
  <c r="K156" i="12"/>
  <c r="F155" i="12"/>
  <c r="L155" i="12"/>
  <c r="E155" i="12"/>
  <c r="K155" i="12"/>
  <c r="F154" i="12"/>
  <c r="L154" i="12"/>
  <c r="E154" i="12"/>
  <c r="K154" i="12"/>
  <c r="F153" i="12"/>
  <c r="L153" i="12"/>
  <c r="E153" i="12"/>
  <c r="K153" i="12"/>
  <c r="F152" i="12"/>
  <c r="L152" i="12"/>
  <c r="E152" i="12"/>
  <c r="K152" i="12"/>
  <c r="F151" i="12"/>
  <c r="L151" i="12"/>
  <c r="E151" i="12"/>
  <c r="K151" i="12"/>
  <c r="F150" i="12"/>
  <c r="L150" i="12"/>
  <c r="E150" i="12"/>
  <c r="K150" i="12"/>
  <c r="F149" i="12"/>
  <c r="L149" i="12"/>
  <c r="E149" i="12"/>
  <c r="K149" i="12"/>
  <c r="F148" i="12"/>
  <c r="L148" i="12"/>
  <c r="E148" i="12"/>
  <c r="K148" i="12"/>
  <c r="F147" i="12"/>
  <c r="L147" i="12"/>
  <c r="E147" i="12"/>
  <c r="K147" i="12"/>
  <c r="F146" i="12"/>
  <c r="L146" i="12"/>
  <c r="E146" i="12"/>
  <c r="K146" i="12"/>
  <c r="F145" i="12"/>
  <c r="L145" i="12"/>
  <c r="E145" i="12"/>
  <c r="K145" i="12"/>
  <c r="F144" i="12"/>
  <c r="L144" i="12"/>
  <c r="E144" i="12"/>
  <c r="K144" i="12"/>
  <c r="F143" i="12"/>
  <c r="L143" i="12"/>
  <c r="E143" i="12"/>
  <c r="K143" i="12"/>
  <c r="F142" i="12"/>
  <c r="L142" i="12"/>
  <c r="E142" i="12"/>
  <c r="K142" i="12"/>
  <c r="F141" i="12"/>
  <c r="L141" i="12"/>
  <c r="E141" i="12"/>
  <c r="K141" i="12"/>
  <c r="F140" i="12"/>
  <c r="L140" i="12"/>
  <c r="E140" i="12"/>
  <c r="K140" i="12"/>
  <c r="F139" i="12"/>
  <c r="L139" i="12"/>
  <c r="E139" i="12"/>
  <c r="K139" i="12"/>
  <c r="F138" i="12"/>
  <c r="L138" i="12"/>
  <c r="E138" i="12"/>
  <c r="K138" i="12"/>
  <c r="F137" i="12"/>
  <c r="L137" i="12"/>
  <c r="E137" i="12"/>
  <c r="K137" i="12"/>
  <c r="F136" i="12"/>
  <c r="L136" i="12"/>
  <c r="E136" i="12"/>
  <c r="K136" i="12"/>
  <c r="F135" i="12"/>
  <c r="L135" i="12"/>
  <c r="E135" i="12"/>
  <c r="K135" i="12"/>
  <c r="F134" i="12"/>
  <c r="L134" i="12"/>
  <c r="E134" i="12"/>
  <c r="K134" i="12"/>
  <c r="F133" i="12"/>
  <c r="L133" i="12"/>
  <c r="E133" i="12"/>
  <c r="K133" i="12"/>
  <c r="F132" i="12"/>
  <c r="L132" i="12"/>
  <c r="E132" i="12"/>
  <c r="K132" i="12"/>
  <c r="F131" i="12"/>
  <c r="L131" i="12"/>
  <c r="E131" i="12"/>
  <c r="K131" i="12"/>
  <c r="F130" i="12"/>
  <c r="L130" i="12"/>
  <c r="E130" i="12"/>
  <c r="K130" i="12"/>
  <c r="S129" i="12"/>
  <c r="R129" i="12"/>
  <c r="Q129" i="12"/>
  <c r="P129" i="12"/>
  <c r="F129" i="12"/>
  <c r="L129" i="12"/>
  <c r="E129" i="12"/>
  <c r="K129" i="12"/>
  <c r="S128" i="12"/>
  <c r="R128" i="12"/>
  <c r="Q128" i="12"/>
  <c r="P128" i="12"/>
  <c r="F128" i="12"/>
  <c r="L128" i="12"/>
  <c r="E128" i="12"/>
  <c r="K128" i="12"/>
  <c r="S127" i="12"/>
  <c r="R127" i="12"/>
  <c r="Q127" i="12"/>
  <c r="P127" i="12"/>
  <c r="F127" i="12"/>
  <c r="L127" i="12"/>
  <c r="E127" i="12"/>
  <c r="K127" i="12"/>
  <c r="S126" i="12"/>
  <c r="R126" i="12"/>
  <c r="Q126" i="12"/>
  <c r="P126" i="12"/>
  <c r="F126" i="12"/>
  <c r="L126" i="12"/>
  <c r="E126" i="12"/>
  <c r="K126" i="12"/>
  <c r="S125" i="12"/>
  <c r="R125" i="12"/>
  <c r="Q125" i="12"/>
  <c r="P125" i="12"/>
  <c r="F125" i="12"/>
  <c r="L125" i="12"/>
  <c r="E125" i="12"/>
  <c r="K125" i="12"/>
  <c r="S124" i="12"/>
  <c r="R124" i="12"/>
  <c r="Q124" i="12"/>
  <c r="P124" i="12"/>
  <c r="F124" i="12"/>
  <c r="L124" i="12"/>
  <c r="E124" i="12"/>
  <c r="K124" i="12"/>
  <c r="S123" i="12"/>
  <c r="R123" i="12"/>
  <c r="Q123" i="12"/>
  <c r="P123" i="12"/>
  <c r="F123" i="12"/>
  <c r="L123" i="12"/>
  <c r="E123" i="12"/>
  <c r="K123" i="12"/>
  <c r="S122" i="12"/>
  <c r="R122" i="12"/>
  <c r="Q122" i="12"/>
  <c r="P122" i="12"/>
  <c r="F122" i="12"/>
  <c r="L122" i="12"/>
  <c r="E122" i="12"/>
  <c r="K122" i="12"/>
  <c r="S121" i="12"/>
  <c r="R121" i="12"/>
  <c r="Q121" i="12"/>
  <c r="P121" i="12"/>
  <c r="F121" i="12"/>
  <c r="L121" i="12"/>
  <c r="E121" i="12"/>
  <c r="K121" i="12"/>
  <c r="S120" i="12"/>
  <c r="R120" i="12"/>
  <c r="Q120" i="12"/>
  <c r="P120" i="12"/>
  <c r="F120" i="12"/>
  <c r="L120" i="12"/>
  <c r="E120" i="12"/>
  <c r="K120" i="12"/>
  <c r="S119" i="12"/>
  <c r="R119" i="12"/>
  <c r="Q119" i="12"/>
  <c r="P119" i="12"/>
  <c r="F119" i="12"/>
  <c r="L119" i="12"/>
  <c r="E119" i="12"/>
  <c r="K119" i="12"/>
  <c r="S118" i="12"/>
  <c r="R118" i="12"/>
  <c r="Q118" i="12"/>
  <c r="P118" i="12"/>
  <c r="F118" i="12"/>
  <c r="L118" i="12"/>
  <c r="E118" i="12"/>
  <c r="K118" i="12"/>
  <c r="S117" i="12"/>
  <c r="R117" i="12"/>
  <c r="Q117" i="12"/>
  <c r="P117" i="12"/>
  <c r="F117" i="12"/>
  <c r="L117" i="12"/>
  <c r="E117" i="12"/>
  <c r="K117" i="12"/>
  <c r="S116" i="12"/>
  <c r="R116" i="12"/>
  <c r="Q116" i="12"/>
  <c r="P116" i="12"/>
  <c r="F116" i="12"/>
  <c r="L116" i="12"/>
  <c r="E116" i="12"/>
  <c r="K116" i="12"/>
  <c r="S115" i="12"/>
  <c r="R115" i="12"/>
  <c r="Q115" i="12"/>
  <c r="P115" i="12"/>
  <c r="F115" i="12"/>
  <c r="L115" i="12"/>
  <c r="E115" i="12"/>
  <c r="K115" i="12"/>
  <c r="S114" i="12"/>
  <c r="R114" i="12"/>
  <c r="Q114" i="12"/>
  <c r="P114" i="12"/>
  <c r="F114" i="12"/>
  <c r="L114" i="12"/>
  <c r="E114" i="12"/>
  <c r="K114" i="12"/>
  <c r="S113" i="12"/>
  <c r="R113" i="12"/>
  <c r="Q113" i="12"/>
  <c r="P113" i="12"/>
  <c r="F113" i="12"/>
  <c r="L113" i="12"/>
  <c r="E113" i="12"/>
  <c r="K113" i="12"/>
  <c r="S112" i="12"/>
  <c r="R112" i="12"/>
  <c r="Q112" i="12"/>
  <c r="P112" i="12"/>
  <c r="F112" i="12"/>
  <c r="L112" i="12"/>
  <c r="E112" i="12"/>
  <c r="K112" i="12"/>
  <c r="S111" i="12"/>
  <c r="R111" i="12"/>
  <c r="Q111" i="12"/>
  <c r="P111" i="12"/>
  <c r="F111" i="12"/>
  <c r="L111" i="12"/>
  <c r="E111" i="12"/>
  <c r="K111" i="12"/>
  <c r="S110" i="12"/>
  <c r="R110" i="12"/>
  <c r="Q110" i="12"/>
  <c r="P110" i="12"/>
  <c r="F110" i="12"/>
  <c r="L110" i="12"/>
  <c r="E110" i="12"/>
  <c r="K110" i="12"/>
  <c r="S109" i="12"/>
  <c r="R109" i="12"/>
  <c r="Q109" i="12"/>
  <c r="P109" i="12"/>
  <c r="F109" i="12"/>
  <c r="L109" i="12"/>
  <c r="E109" i="12"/>
  <c r="K109" i="12"/>
  <c r="S108" i="12"/>
  <c r="R108" i="12"/>
  <c r="Q108" i="12"/>
  <c r="P108" i="12"/>
  <c r="F108" i="12"/>
  <c r="L108" i="12"/>
  <c r="E108" i="12"/>
  <c r="K108" i="12"/>
  <c r="S107" i="12"/>
  <c r="R107" i="12"/>
  <c r="Q107" i="12"/>
  <c r="P107" i="12"/>
  <c r="F107" i="12"/>
  <c r="L107" i="12"/>
  <c r="E107" i="12"/>
  <c r="K107" i="12"/>
  <c r="S106" i="12"/>
  <c r="R106" i="12"/>
  <c r="Q106" i="12"/>
  <c r="P106" i="12"/>
  <c r="F106" i="12"/>
  <c r="L106" i="12"/>
  <c r="E106" i="12"/>
  <c r="K106" i="12"/>
  <c r="S105" i="12"/>
  <c r="R105" i="12"/>
  <c r="Q105" i="12"/>
  <c r="P105" i="12"/>
  <c r="F105" i="12"/>
  <c r="L105" i="12"/>
  <c r="E105" i="12"/>
  <c r="K105" i="12"/>
  <c r="S104" i="12"/>
  <c r="R104" i="12"/>
  <c r="Q104" i="12"/>
  <c r="P104" i="12"/>
  <c r="F104" i="12"/>
  <c r="L104" i="12"/>
  <c r="E104" i="12"/>
  <c r="K104" i="12"/>
  <c r="S103" i="12"/>
  <c r="R103" i="12"/>
  <c r="Q103" i="12"/>
  <c r="P103" i="12"/>
  <c r="F103" i="12"/>
  <c r="L103" i="12"/>
  <c r="E103" i="12"/>
  <c r="K103" i="12"/>
  <c r="S102" i="12"/>
  <c r="R102" i="12"/>
  <c r="Q102" i="12"/>
  <c r="P102" i="12"/>
  <c r="F102" i="12"/>
  <c r="L102" i="12"/>
  <c r="E102" i="12"/>
  <c r="K102" i="12"/>
  <c r="S101" i="12"/>
  <c r="R101" i="12"/>
  <c r="Q101" i="12"/>
  <c r="P101" i="12"/>
  <c r="F101" i="12"/>
  <c r="L101" i="12"/>
  <c r="E101" i="12"/>
  <c r="K101" i="12"/>
  <c r="S100" i="12"/>
  <c r="R100" i="12"/>
  <c r="Q100" i="12"/>
  <c r="P100" i="12"/>
  <c r="F100" i="12"/>
  <c r="L100" i="12"/>
  <c r="E100" i="12"/>
  <c r="K100" i="12"/>
  <c r="S99" i="12"/>
  <c r="R99" i="12"/>
  <c r="Q99" i="12"/>
  <c r="P99" i="12"/>
  <c r="F99" i="12"/>
  <c r="L99" i="12"/>
  <c r="E99" i="12"/>
  <c r="K99" i="12"/>
  <c r="S98" i="12"/>
  <c r="R98" i="12"/>
  <c r="Q98" i="12"/>
  <c r="P98" i="12"/>
  <c r="F98" i="12"/>
  <c r="L98" i="12"/>
  <c r="E98" i="12"/>
  <c r="K98" i="12"/>
  <c r="S97" i="12"/>
  <c r="R97" i="12"/>
  <c r="Q97" i="12"/>
  <c r="P97" i="12"/>
  <c r="F97" i="12"/>
  <c r="L97" i="12"/>
  <c r="E97" i="12"/>
  <c r="K97" i="12"/>
  <c r="S96" i="12"/>
  <c r="R96" i="12"/>
  <c r="Q96" i="12"/>
  <c r="P96" i="12"/>
  <c r="F96" i="12"/>
  <c r="L96" i="12"/>
  <c r="E96" i="12"/>
  <c r="K96" i="12"/>
  <c r="S95" i="12"/>
  <c r="R95" i="12"/>
  <c r="Q95" i="12"/>
  <c r="P95" i="12"/>
  <c r="F95" i="12"/>
  <c r="L95" i="12"/>
  <c r="E95" i="12"/>
  <c r="K95" i="12"/>
  <c r="S94" i="12"/>
  <c r="R94" i="12"/>
  <c r="Q94" i="12"/>
  <c r="P94" i="12"/>
  <c r="F94" i="12"/>
  <c r="L94" i="12"/>
  <c r="E94" i="12"/>
  <c r="K94" i="12"/>
  <c r="S93" i="12"/>
  <c r="R93" i="12"/>
  <c r="Q93" i="12"/>
  <c r="P93" i="12"/>
  <c r="F93" i="12"/>
  <c r="L93" i="12"/>
  <c r="E93" i="12"/>
  <c r="K93" i="12"/>
  <c r="S92" i="12"/>
  <c r="R92" i="12"/>
  <c r="Q92" i="12"/>
  <c r="P92" i="12"/>
  <c r="F92" i="12"/>
  <c r="L92" i="12"/>
  <c r="E92" i="12"/>
  <c r="K92" i="12"/>
  <c r="S91" i="12"/>
  <c r="R91" i="12"/>
  <c r="Q91" i="12"/>
  <c r="P91" i="12"/>
  <c r="F91" i="12"/>
  <c r="L91" i="12"/>
  <c r="E91" i="12"/>
  <c r="K91" i="12"/>
  <c r="S90" i="12"/>
  <c r="R90" i="12"/>
  <c r="Q90" i="12"/>
  <c r="P90" i="12"/>
  <c r="F90" i="12"/>
  <c r="L90" i="12"/>
  <c r="E90" i="12"/>
  <c r="K90" i="12"/>
  <c r="S89" i="12"/>
  <c r="R89" i="12"/>
  <c r="Q89" i="12"/>
  <c r="P89" i="12"/>
  <c r="F89" i="12"/>
  <c r="L89" i="12"/>
  <c r="E89" i="12"/>
  <c r="K89" i="12"/>
  <c r="S88" i="12"/>
  <c r="R88" i="12"/>
  <c r="Q88" i="12"/>
  <c r="P88" i="12"/>
  <c r="F88" i="12"/>
  <c r="L88" i="12"/>
  <c r="E88" i="12"/>
  <c r="K88" i="12"/>
  <c r="S87" i="12"/>
  <c r="R87" i="12"/>
  <c r="Q87" i="12"/>
  <c r="P87" i="12"/>
  <c r="F87" i="12"/>
  <c r="L87" i="12"/>
  <c r="E87" i="12"/>
  <c r="K87" i="12"/>
  <c r="S86" i="12"/>
  <c r="R86" i="12"/>
  <c r="Q86" i="12"/>
  <c r="P86" i="12"/>
  <c r="F86" i="12"/>
  <c r="L86" i="12"/>
  <c r="E86" i="12"/>
  <c r="K86" i="12"/>
  <c r="S85" i="12"/>
  <c r="R85" i="12"/>
  <c r="Q85" i="12"/>
  <c r="P85" i="12"/>
  <c r="F85" i="12"/>
  <c r="L85" i="12"/>
  <c r="E85" i="12"/>
  <c r="K85" i="12"/>
  <c r="S84" i="12"/>
  <c r="R84" i="12"/>
  <c r="Q84" i="12"/>
  <c r="P84" i="12"/>
  <c r="F84" i="12"/>
  <c r="L84" i="12"/>
  <c r="E84" i="12"/>
  <c r="K84" i="12"/>
  <c r="S83" i="12"/>
  <c r="R83" i="12"/>
  <c r="Q83" i="12"/>
  <c r="P83" i="12"/>
  <c r="F83" i="12"/>
  <c r="L83" i="12"/>
  <c r="E83" i="12"/>
  <c r="K83" i="12"/>
  <c r="S82" i="12"/>
  <c r="R82" i="12"/>
  <c r="Q82" i="12"/>
  <c r="P82" i="12"/>
  <c r="F82" i="12"/>
  <c r="L82" i="12"/>
  <c r="E82" i="12"/>
  <c r="K82" i="12"/>
  <c r="S81" i="12"/>
  <c r="R81" i="12"/>
  <c r="Q81" i="12"/>
  <c r="P81" i="12"/>
  <c r="F81" i="12"/>
  <c r="L81" i="12"/>
  <c r="E81" i="12"/>
  <c r="K81" i="12"/>
  <c r="S80" i="12"/>
  <c r="R80" i="12"/>
  <c r="Q80" i="12"/>
  <c r="P80" i="12"/>
  <c r="F80" i="12"/>
  <c r="L80" i="12"/>
  <c r="E80" i="12"/>
  <c r="K80" i="12"/>
  <c r="S79" i="12"/>
  <c r="R79" i="12"/>
  <c r="Q79" i="12"/>
  <c r="P79" i="12"/>
  <c r="F79" i="12"/>
  <c r="L79" i="12"/>
  <c r="E79" i="12"/>
  <c r="K79" i="12"/>
  <c r="S78" i="12"/>
  <c r="R78" i="12"/>
  <c r="Q78" i="12"/>
  <c r="P78" i="12"/>
  <c r="F78" i="12"/>
  <c r="L78" i="12"/>
  <c r="E78" i="12"/>
  <c r="K78" i="12"/>
  <c r="S77" i="12"/>
  <c r="R77" i="12"/>
  <c r="Q77" i="12"/>
  <c r="P77" i="12"/>
  <c r="F77" i="12"/>
  <c r="L77" i="12"/>
  <c r="E77" i="12"/>
  <c r="K77" i="12"/>
  <c r="S76" i="12"/>
  <c r="R76" i="12"/>
  <c r="Q76" i="12"/>
  <c r="P76" i="12"/>
  <c r="F76" i="12"/>
  <c r="L76" i="12"/>
  <c r="E76" i="12"/>
  <c r="K76" i="12"/>
  <c r="S75" i="12"/>
  <c r="R75" i="12"/>
  <c r="Q75" i="12"/>
  <c r="P75" i="12"/>
  <c r="F75" i="12"/>
  <c r="L75" i="12"/>
  <c r="E75" i="12"/>
  <c r="K75" i="12"/>
  <c r="S74" i="12"/>
  <c r="R74" i="12"/>
  <c r="Q74" i="12"/>
  <c r="P74" i="12"/>
  <c r="F74" i="12"/>
  <c r="L74" i="12"/>
  <c r="E74" i="12"/>
  <c r="K74" i="12"/>
  <c r="S73" i="12"/>
  <c r="R73" i="12"/>
  <c r="Q73" i="12"/>
  <c r="P73" i="12"/>
  <c r="F73" i="12"/>
  <c r="L73" i="12"/>
  <c r="E73" i="12"/>
  <c r="K73" i="12"/>
  <c r="S72" i="12"/>
  <c r="R72" i="12"/>
  <c r="Q72" i="12"/>
  <c r="P72" i="12"/>
  <c r="F72" i="12"/>
  <c r="L72" i="12"/>
  <c r="E72" i="12"/>
  <c r="K72" i="12"/>
  <c r="S71" i="12"/>
  <c r="R71" i="12"/>
  <c r="Q71" i="12"/>
  <c r="P71" i="12"/>
  <c r="F71" i="12"/>
  <c r="L71" i="12"/>
  <c r="E71" i="12"/>
  <c r="K71" i="12"/>
  <c r="S70" i="12"/>
  <c r="R70" i="12"/>
  <c r="Q70" i="12"/>
  <c r="P70" i="12"/>
  <c r="F70" i="12"/>
  <c r="L70" i="12"/>
  <c r="E70" i="12"/>
  <c r="K70" i="12"/>
  <c r="S69" i="12"/>
  <c r="R69" i="12"/>
  <c r="Q69" i="12"/>
  <c r="P69" i="12"/>
  <c r="F69" i="12"/>
  <c r="L69" i="12"/>
  <c r="E69" i="12"/>
  <c r="K69" i="12"/>
  <c r="S68" i="12"/>
  <c r="R68" i="12"/>
  <c r="Q68" i="12"/>
  <c r="P68" i="12"/>
  <c r="F68" i="12"/>
  <c r="L68" i="12"/>
  <c r="E68" i="12"/>
  <c r="K68" i="12"/>
  <c r="S67" i="12"/>
  <c r="R67" i="12"/>
  <c r="Q67" i="12"/>
  <c r="P67" i="12"/>
  <c r="F67" i="12"/>
  <c r="L67" i="12"/>
  <c r="E67" i="12"/>
  <c r="K67" i="12"/>
  <c r="S66" i="12"/>
  <c r="R66" i="12"/>
  <c r="Q66" i="12"/>
  <c r="P66" i="12"/>
  <c r="F66" i="12"/>
  <c r="L66" i="12"/>
  <c r="E66" i="12"/>
  <c r="K66" i="12"/>
  <c r="S65" i="12"/>
  <c r="R65" i="12"/>
  <c r="Q65" i="12"/>
  <c r="P65" i="12"/>
  <c r="F65" i="12"/>
  <c r="L65" i="12"/>
  <c r="E65" i="12"/>
  <c r="K65" i="12"/>
  <c r="S64" i="12"/>
  <c r="R64" i="12"/>
  <c r="Q64" i="12"/>
  <c r="P64" i="12"/>
  <c r="F64" i="12"/>
  <c r="L64" i="12"/>
  <c r="E64" i="12"/>
  <c r="K64" i="12"/>
  <c r="S63" i="12"/>
  <c r="R63" i="12"/>
  <c r="Q63" i="12"/>
  <c r="P63" i="12"/>
  <c r="F63" i="12"/>
  <c r="L63" i="12"/>
  <c r="E63" i="12"/>
  <c r="K63" i="12"/>
  <c r="S62" i="12"/>
  <c r="R62" i="12"/>
  <c r="Q62" i="12"/>
  <c r="P62" i="12"/>
  <c r="F62" i="12"/>
  <c r="L62" i="12"/>
  <c r="E62" i="12"/>
  <c r="K62" i="12"/>
  <c r="S61" i="12"/>
  <c r="R61" i="12"/>
  <c r="Q61" i="12"/>
  <c r="P61" i="12"/>
  <c r="F61" i="12"/>
  <c r="L61" i="12"/>
  <c r="E61" i="12"/>
  <c r="K61" i="12"/>
  <c r="S60" i="12"/>
  <c r="R60" i="12"/>
  <c r="Q60" i="12"/>
  <c r="P60" i="12"/>
  <c r="F60" i="12"/>
  <c r="L60" i="12"/>
  <c r="E60" i="12"/>
  <c r="K60" i="12"/>
  <c r="S59" i="12"/>
  <c r="R59" i="12"/>
  <c r="Q59" i="12"/>
  <c r="P59" i="12"/>
  <c r="F59" i="12"/>
  <c r="L59" i="12"/>
  <c r="E59" i="12"/>
  <c r="K59" i="12"/>
  <c r="S58" i="12"/>
  <c r="R58" i="12"/>
  <c r="Q58" i="12"/>
  <c r="P58" i="12"/>
  <c r="F58" i="12"/>
  <c r="L58" i="12"/>
  <c r="E58" i="12"/>
  <c r="K58" i="12"/>
  <c r="S57" i="12"/>
  <c r="R57" i="12"/>
  <c r="Q57" i="12"/>
  <c r="P57" i="12"/>
  <c r="F57" i="12"/>
  <c r="L57" i="12"/>
  <c r="E57" i="12"/>
  <c r="K57" i="12"/>
  <c r="S56" i="12"/>
  <c r="R56" i="12"/>
  <c r="Q56" i="12"/>
  <c r="P56" i="12"/>
  <c r="F56" i="12"/>
  <c r="L56" i="12"/>
  <c r="E56" i="12"/>
  <c r="K56" i="12"/>
  <c r="S55" i="12"/>
  <c r="R55" i="12"/>
  <c r="Q55" i="12"/>
  <c r="P55" i="12"/>
  <c r="F55" i="12"/>
  <c r="L55" i="12"/>
  <c r="E55" i="12"/>
  <c r="K55" i="12"/>
  <c r="S54" i="12"/>
  <c r="R54" i="12"/>
  <c r="Q54" i="12"/>
  <c r="P54" i="12"/>
  <c r="F54" i="12"/>
  <c r="L54" i="12"/>
  <c r="E54" i="12"/>
  <c r="K54" i="12"/>
  <c r="S53" i="12"/>
  <c r="R53" i="12"/>
  <c r="Q53" i="12"/>
  <c r="P53" i="12"/>
  <c r="F53" i="12"/>
  <c r="L53" i="12"/>
  <c r="E53" i="12"/>
  <c r="K53" i="12"/>
  <c r="S52" i="12"/>
  <c r="R52" i="12"/>
  <c r="Q52" i="12"/>
  <c r="P52" i="12"/>
  <c r="F52" i="12"/>
  <c r="L52" i="12"/>
  <c r="E52" i="12"/>
  <c r="K52" i="12"/>
  <c r="S51" i="12"/>
  <c r="R51" i="12"/>
  <c r="Q51" i="12"/>
  <c r="P51" i="12"/>
  <c r="F51" i="12"/>
  <c r="L51" i="12"/>
  <c r="E51" i="12"/>
  <c r="K51" i="12"/>
  <c r="S50" i="12"/>
  <c r="R50" i="12"/>
  <c r="Q50" i="12"/>
  <c r="P50" i="12"/>
  <c r="F50" i="12"/>
  <c r="L50" i="12"/>
  <c r="E50" i="12"/>
  <c r="K50" i="12"/>
  <c r="S49" i="12"/>
  <c r="R49" i="12"/>
  <c r="Q49" i="12"/>
  <c r="P49" i="12"/>
  <c r="F49" i="12"/>
  <c r="L49" i="12"/>
  <c r="E49" i="12"/>
  <c r="K49" i="12"/>
  <c r="S48" i="12"/>
  <c r="R48" i="12"/>
  <c r="Q48" i="12"/>
  <c r="P48" i="12"/>
  <c r="F48" i="12"/>
  <c r="L48" i="12"/>
  <c r="E48" i="12"/>
  <c r="K48" i="12"/>
  <c r="S47" i="12"/>
  <c r="R47" i="12"/>
  <c r="Q47" i="12"/>
  <c r="P47" i="12"/>
  <c r="F47" i="12"/>
  <c r="L47" i="12"/>
  <c r="E47" i="12"/>
  <c r="K47" i="12"/>
  <c r="S46" i="12"/>
  <c r="R46" i="12"/>
  <c r="Q46" i="12"/>
  <c r="P46" i="12"/>
  <c r="F46" i="12"/>
  <c r="L46" i="12"/>
  <c r="E46" i="12"/>
  <c r="K46" i="12"/>
  <c r="S45" i="12"/>
  <c r="R45" i="12"/>
  <c r="Q45" i="12"/>
  <c r="P45" i="12"/>
  <c r="F45" i="12"/>
  <c r="L45" i="12"/>
  <c r="E45" i="12"/>
  <c r="K45" i="12"/>
  <c r="S44" i="12"/>
  <c r="R44" i="12"/>
  <c r="Q44" i="12"/>
  <c r="P44" i="12"/>
  <c r="F44" i="12"/>
  <c r="L44" i="12"/>
  <c r="E44" i="12"/>
  <c r="K44" i="12"/>
  <c r="S43" i="12"/>
  <c r="R43" i="12"/>
  <c r="Q43" i="12"/>
  <c r="P43" i="12"/>
  <c r="F43" i="12"/>
  <c r="L43" i="12"/>
  <c r="E43" i="12"/>
  <c r="K43" i="12"/>
  <c r="S42" i="12"/>
  <c r="R42" i="12"/>
  <c r="Q42" i="12"/>
  <c r="P42" i="12"/>
  <c r="F42" i="12"/>
  <c r="L42" i="12"/>
  <c r="E42" i="12"/>
  <c r="K42" i="12"/>
  <c r="S41" i="12"/>
  <c r="R41" i="12"/>
  <c r="Q41" i="12"/>
  <c r="P41" i="12"/>
  <c r="F41" i="12"/>
  <c r="L41" i="12"/>
  <c r="E41" i="12"/>
  <c r="K41" i="12"/>
  <c r="S40" i="12"/>
  <c r="R40" i="12"/>
  <c r="Q40" i="12"/>
  <c r="P40" i="12"/>
  <c r="F40" i="12"/>
  <c r="L40" i="12"/>
  <c r="E40" i="12"/>
  <c r="K40" i="12"/>
  <c r="S39" i="12"/>
  <c r="R39" i="12"/>
  <c r="Q39" i="12"/>
  <c r="P39" i="12"/>
  <c r="F39" i="12"/>
  <c r="L39" i="12"/>
  <c r="E39" i="12"/>
  <c r="K39" i="12"/>
  <c r="S38" i="12"/>
  <c r="R38" i="12"/>
  <c r="Q38" i="12"/>
  <c r="P38" i="12"/>
  <c r="F38" i="12"/>
  <c r="L38" i="12"/>
  <c r="E38" i="12"/>
  <c r="K38" i="12"/>
  <c r="S37" i="12"/>
  <c r="R37" i="12"/>
  <c r="Q37" i="12"/>
  <c r="P37" i="12"/>
  <c r="F37" i="12"/>
  <c r="L37" i="12"/>
  <c r="E37" i="12"/>
  <c r="K37" i="12"/>
  <c r="S36" i="12"/>
  <c r="R36" i="12"/>
  <c r="Q36" i="12"/>
  <c r="P36" i="12"/>
  <c r="F36" i="12"/>
  <c r="L36" i="12"/>
  <c r="E36" i="12"/>
  <c r="K36" i="12"/>
  <c r="S35" i="12"/>
  <c r="R35" i="12"/>
  <c r="Q35" i="12"/>
  <c r="P35" i="12"/>
  <c r="F35" i="12"/>
  <c r="L35" i="12"/>
  <c r="E35" i="12"/>
  <c r="K35" i="12"/>
  <c r="S34" i="12"/>
  <c r="R34" i="12"/>
  <c r="Q34" i="12"/>
  <c r="P34" i="12"/>
  <c r="F34" i="12"/>
  <c r="L34" i="12"/>
  <c r="E34" i="12"/>
  <c r="K34" i="12"/>
  <c r="S33" i="12"/>
  <c r="R33" i="12"/>
  <c r="Q33" i="12"/>
  <c r="P33" i="12"/>
  <c r="F33" i="12"/>
  <c r="L33" i="12"/>
  <c r="E33" i="12"/>
  <c r="K33" i="12"/>
  <c r="S32" i="12"/>
  <c r="R32" i="12"/>
  <c r="Q32" i="12"/>
  <c r="P32" i="12"/>
  <c r="F32" i="12"/>
  <c r="L32" i="12"/>
  <c r="E32" i="12"/>
  <c r="K32" i="12"/>
  <c r="S31" i="12"/>
  <c r="R31" i="12"/>
  <c r="Q31" i="12"/>
  <c r="P31" i="12"/>
  <c r="F31" i="12"/>
  <c r="L31" i="12"/>
  <c r="E31" i="12"/>
  <c r="K31" i="12"/>
  <c r="S30" i="12"/>
  <c r="R30" i="12"/>
  <c r="Q30" i="12"/>
  <c r="P30" i="12"/>
  <c r="F30" i="12"/>
  <c r="L30" i="12"/>
  <c r="E30" i="12"/>
  <c r="K30" i="12"/>
  <c r="S29" i="12"/>
  <c r="R29" i="12"/>
  <c r="Q29" i="12"/>
  <c r="P29" i="12"/>
  <c r="F29" i="12"/>
  <c r="L29" i="12"/>
  <c r="E29" i="12"/>
  <c r="K29" i="12"/>
  <c r="S28" i="12"/>
  <c r="R28" i="12"/>
  <c r="Q28" i="12"/>
  <c r="P28" i="12"/>
  <c r="F28" i="12"/>
  <c r="L28" i="12"/>
  <c r="E28" i="12"/>
  <c r="K28" i="12"/>
  <c r="S27" i="12"/>
  <c r="R27" i="12"/>
  <c r="Q27" i="12"/>
  <c r="P27" i="12"/>
  <c r="F27" i="12"/>
  <c r="L27" i="12"/>
  <c r="E27" i="12"/>
  <c r="K27" i="12"/>
  <c r="S26" i="12"/>
  <c r="R26" i="12"/>
  <c r="Q26" i="12"/>
  <c r="P26" i="12"/>
  <c r="F26" i="12"/>
  <c r="L26" i="12"/>
  <c r="E26" i="12"/>
  <c r="K26" i="12"/>
  <c r="S25" i="12"/>
  <c r="R25" i="12"/>
  <c r="Q25" i="12"/>
  <c r="P25" i="12"/>
  <c r="F25" i="12"/>
  <c r="L25" i="12"/>
  <c r="E25" i="12"/>
  <c r="K25" i="12"/>
  <c r="S24" i="12"/>
  <c r="R24" i="12"/>
  <c r="Q24" i="12"/>
  <c r="P24" i="12"/>
  <c r="F24" i="12"/>
  <c r="L24" i="12"/>
  <c r="E24" i="12"/>
  <c r="K24" i="12"/>
  <c r="S23" i="12"/>
  <c r="R23" i="12"/>
  <c r="Q23" i="12"/>
  <c r="P23" i="12"/>
  <c r="F23" i="12"/>
  <c r="L23" i="12"/>
  <c r="E23" i="12"/>
  <c r="K23" i="12"/>
  <c r="S22" i="12"/>
  <c r="R22" i="12"/>
  <c r="Q22" i="12"/>
  <c r="P22" i="12"/>
  <c r="F22" i="12"/>
  <c r="L22" i="12"/>
  <c r="E22" i="12"/>
  <c r="K22" i="12"/>
  <c r="S21" i="12"/>
  <c r="R21" i="12"/>
  <c r="Q21" i="12"/>
  <c r="P21" i="12"/>
  <c r="F21" i="12"/>
  <c r="L21" i="12"/>
  <c r="E21" i="12"/>
  <c r="K21" i="12"/>
  <c r="S20" i="12"/>
  <c r="R20" i="12"/>
  <c r="Q20" i="12"/>
  <c r="P20" i="12"/>
  <c r="F20" i="12"/>
  <c r="L20" i="12"/>
  <c r="E20" i="12"/>
  <c r="K20" i="12"/>
  <c r="S19" i="12"/>
  <c r="R19" i="12"/>
  <c r="Q19" i="12"/>
  <c r="P19" i="12"/>
  <c r="F19" i="12"/>
  <c r="L19" i="12"/>
  <c r="E19" i="12"/>
  <c r="K19" i="12"/>
  <c r="S18" i="12"/>
  <c r="R18" i="12"/>
  <c r="Q18" i="12"/>
  <c r="P18" i="12"/>
  <c r="F18" i="12"/>
  <c r="L18" i="12"/>
  <c r="E18" i="12"/>
  <c r="K18" i="12"/>
  <c r="S17" i="12"/>
  <c r="R17" i="12"/>
  <c r="Q17" i="12"/>
  <c r="P17" i="12"/>
  <c r="F17" i="12"/>
  <c r="L17" i="12"/>
  <c r="E17" i="12"/>
  <c r="K17" i="12"/>
  <c r="S16" i="12"/>
  <c r="R16" i="12"/>
  <c r="Q16" i="12"/>
  <c r="P16" i="12"/>
  <c r="F16" i="12"/>
  <c r="L16" i="12"/>
  <c r="E16" i="12"/>
  <c r="K16" i="12"/>
  <c r="S15" i="12"/>
  <c r="R15" i="12"/>
  <c r="Q15" i="12"/>
  <c r="P15" i="12"/>
  <c r="F15" i="12"/>
  <c r="L15" i="12"/>
  <c r="E15" i="12"/>
  <c r="K15" i="12"/>
  <c r="S14" i="12"/>
  <c r="R14" i="12"/>
  <c r="Q14" i="12"/>
  <c r="P14" i="12"/>
  <c r="F14" i="12"/>
  <c r="L14" i="12"/>
  <c r="E14" i="12"/>
  <c r="K14" i="12"/>
  <c r="S13" i="12"/>
  <c r="R13" i="12"/>
  <c r="Q13" i="12"/>
  <c r="P13" i="12"/>
  <c r="F13" i="12"/>
  <c r="L13" i="12"/>
  <c r="E13" i="12"/>
  <c r="K13" i="12"/>
  <c r="S12" i="12"/>
  <c r="R12" i="12"/>
  <c r="Q12" i="12"/>
  <c r="P12" i="12"/>
  <c r="F12" i="12"/>
  <c r="L12" i="12"/>
  <c r="E12" i="12"/>
  <c r="K12" i="12"/>
  <c r="S11" i="12"/>
  <c r="R11" i="12"/>
  <c r="Q11" i="12"/>
  <c r="P11" i="12"/>
  <c r="F11" i="12"/>
  <c r="L11" i="12"/>
  <c r="E11" i="12"/>
  <c r="K11" i="12"/>
  <c r="S10" i="12"/>
  <c r="R10" i="12"/>
  <c r="Q10" i="12"/>
  <c r="P10" i="12"/>
  <c r="F10" i="12"/>
  <c r="L10" i="12"/>
  <c r="E10" i="12"/>
  <c r="K10" i="12"/>
  <c r="S9" i="12"/>
  <c r="R9" i="12"/>
  <c r="Q9" i="12"/>
  <c r="P9" i="12"/>
  <c r="F9" i="12"/>
  <c r="L9" i="12"/>
  <c r="E9" i="12"/>
  <c r="K9" i="12"/>
  <c r="S8" i="12"/>
  <c r="R8" i="12"/>
  <c r="Q8" i="12"/>
  <c r="P8" i="12"/>
  <c r="F8" i="12"/>
  <c r="L8" i="12"/>
  <c r="E8" i="12"/>
  <c r="K8" i="12"/>
  <c r="S7" i="12"/>
  <c r="R7" i="12"/>
  <c r="Q7" i="12"/>
  <c r="P7" i="12"/>
  <c r="F7" i="12"/>
  <c r="L7" i="12"/>
  <c r="E7" i="12"/>
  <c r="K7" i="12"/>
  <c r="S6" i="12"/>
  <c r="R6" i="12"/>
  <c r="Q6" i="12"/>
  <c r="P6" i="12"/>
  <c r="F6" i="12"/>
  <c r="L6" i="12"/>
  <c r="E6" i="12"/>
  <c r="K6" i="12"/>
  <c r="S5" i="12"/>
  <c r="R5" i="12"/>
  <c r="Q5" i="12"/>
  <c r="P5" i="12"/>
  <c r="F5" i="12"/>
  <c r="L5" i="12"/>
  <c r="E5" i="12"/>
  <c r="K5" i="12"/>
  <c r="S4" i="12"/>
  <c r="F4" i="12"/>
  <c r="L4" i="12"/>
  <c r="R4" i="12"/>
  <c r="Q4" i="12"/>
  <c r="E4" i="12"/>
  <c r="K4" i="12"/>
  <c r="P4" i="12"/>
  <c r="F3" i="12"/>
  <c r="L3" i="12"/>
  <c r="S3" i="12"/>
  <c r="F2" i="12"/>
  <c r="L2" i="12"/>
  <c r="R3" i="12"/>
  <c r="E3" i="12"/>
  <c r="K3" i="12"/>
  <c r="Q3" i="12"/>
  <c r="E2" i="12"/>
  <c r="K2" i="12"/>
  <c r="P3" i="12"/>
  <c r="E20" i="6"/>
  <c r="K20" i="6"/>
  <c r="P12" i="6"/>
  <c r="E21" i="6"/>
  <c r="K21" i="6"/>
  <c r="Q12" i="6"/>
  <c r="F20" i="6"/>
  <c r="L20" i="6"/>
  <c r="R12" i="6"/>
  <c r="F21" i="6"/>
  <c r="L21" i="6"/>
  <c r="S12" i="6"/>
  <c r="E22" i="6"/>
  <c r="K22" i="6"/>
  <c r="P13" i="6"/>
  <c r="E23" i="6"/>
  <c r="K23" i="6"/>
  <c r="Q13" i="6"/>
  <c r="F22" i="6"/>
  <c r="L22" i="6"/>
  <c r="R13" i="6"/>
  <c r="F23" i="6"/>
  <c r="L23" i="6"/>
  <c r="S13" i="6"/>
  <c r="E24" i="6"/>
  <c r="K24" i="6"/>
  <c r="P14" i="6"/>
  <c r="E25" i="6"/>
  <c r="K25" i="6"/>
  <c r="Q14" i="6"/>
  <c r="F24" i="6"/>
  <c r="L24" i="6"/>
  <c r="R14" i="6"/>
  <c r="F25" i="6"/>
  <c r="L25" i="6"/>
  <c r="S14" i="6"/>
  <c r="E26" i="6"/>
  <c r="K26" i="6"/>
  <c r="P15" i="6"/>
  <c r="E27" i="6"/>
  <c r="K27" i="6"/>
  <c r="Q15" i="6"/>
  <c r="F26" i="6"/>
  <c r="L26" i="6"/>
  <c r="R15" i="6"/>
  <c r="F27" i="6"/>
  <c r="L27" i="6"/>
  <c r="S15" i="6"/>
  <c r="E28" i="6"/>
  <c r="K28" i="6"/>
  <c r="P16" i="6"/>
  <c r="E29" i="6"/>
  <c r="K29" i="6"/>
  <c r="Q16" i="6"/>
  <c r="F28" i="6"/>
  <c r="L28" i="6"/>
  <c r="R16" i="6"/>
  <c r="F29" i="6"/>
  <c r="L29" i="6"/>
  <c r="S16" i="6"/>
  <c r="E30" i="6"/>
  <c r="K30" i="6"/>
  <c r="P17" i="6"/>
  <c r="E31" i="6"/>
  <c r="K31" i="6"/>
  <c r="Q17" i="6"/>
  <c r="F30" i="6"/>
  <c r="L30" i="6"/>
  <c r="R17" i="6"/>
  <c r="F31" i="6"/>
  <c r="L31" i="6"/>
  <c r="S17" i="6"/>
  <c r="E32" i="6"/>
  <c r="K32" i="6"/>
  <c r="P18" i="6"/>
  <c r="E33" i="6"/>
  <c r="K33" i="6"/>
  <c r="Q18" i="6"/>
  <c r="F32" i="6"/>
  <c r="L32" i="6"/>
  <c r="R18" i="6"/>
  <c r="F33" i="6"/>
  <c r="L33" i="6"/>
  <c r="S18" i="6"/>
  <c r="E34" i="6"/>
  <c r="K34" i="6"/>
  <c r="P19" i="6"/>
  <c r="E35" i="6"/>
  <c r="K35" i="6"/>
  <c r="Q19" i="6"/>
  <c r="F34" i="6"/>
  <c r="L34" i="6"/>
  <c r="R19" i="6"/>
  <c r="F35" i="6"/>
  <c r="L35" i="6"/>
  <c r="S19" i="6"/>
  <c r="E36" i="6"/>
  <c r="K36" i="6"/>
  <c r="P20" i="6"/>
  <c r="E37" i="6"/>
  <c r="K37" i="6"/>
  <c r="Q20" i="6"/>
  <c r="F36" i="6"/>
  <c r="L36" i="6"/>
  <c r="R20" i="6"/>
  <c r="F37" i="6"/>
  <c r="L37" i="6"/>
  <c r="S20" i="6"/>
  <c r="E38" i="6"/>
  <c r="K38" i="6"/>
  <c r="P21" i="6"/>
  <c r="E39" i="6"/>
  <c r="K39" i="6"/>
  <c r="Q21" i="6"/>
  <c r="F38" i="6"/>
  <c r="L38" i="6"/>
  <c r="R21" i="6"/>
  <c r="F39" i="6"/>
  <c r="L39" i="6"/>
  <c r="S21" i="6"/>
  <c r="E40" i="6"/>
  <c r="K40" i="6"/>
  <c r="P22" i="6"/>
  <c r="E41" i="6"/>
  <c r="K41" i="6"/>
  <c r="Q22" i="6"/>
  <c r="F40" i="6"/>
  <c r="L40" i="6"/>
  <c r="R22" i="6"/>
  <c r="F41" i="6"/>
  <c r="L41" i="6"/>
  <c r="S22" i="6"/>
  <c r="E42" i="6"/>
  <c r="K42" i="6"/>
  <c r="P23" i="6"/>
  <c r="E43" i="6"/>
  <c r="K43" i="6"/>
  <c r="Q23" i="6"/>
  <c r="F42" i="6"/>
  <c r="L42" i="6"/>
  <c r="R23" i="6"/>
  <c r="F43" i="6"/>
  <c r="L43" i="6"/>
  <c r="S23" i="6"/>
  <c r="E44" i="6"/>
  <c r="K44" i="6"/>
  <c r="P24" i="6"/>
  <c r="E45" i="6"/>
  <c r="K45" i="6"/>
  <c r="Q24" i="6"/>
  <c r="F44" i="6"/>
  <c r="L44" i="6"/>
  <c r="R24" i="6"/>
  <c r="F45" i="6"/>
  <c r="L45" i="6"/>
  <c r="S24" i="6"/>
  <c r="E46" i="6"/>
  <c r="K46" i="6"/>
  <c r="P25" i="6"/>
  <c r="E47" i="6"/>
  <c r="K47" i="6"/>
  <c r="Q25" i="6"/>
  <c r="F46" i="6"/>
  <c r="L46" i="6"/>
  <c r="R25" i="6"/>
  <c r="F47" i="6"/>
  <c r="L47" i="6"/>
  <c r="S25" i="6"/>
  <c r="E48" i="6"/>
  <c r="K48" i="6"/>
  <c r="P26" i="6"/>
  <c r="E49" i="6"/>
  <c r="K49" i="6"/>
  <c r="Q26" i="6"/>
  <c r="F48" i="6"/>
  <c r="L48" i="6"/>
  <c r="R26" i="6"/>
  <c r="F49" i="6"/>
  <c r="L49" i="6"/>
  <c r="S26" i="6"/>
  <c r="E50" i="6"/>
  <c r="K50" i="6"/>
  <c r="P27" i="6"/>
  <c r="E51" i="6"/>
  <c r="K51" i="6"/>
  <c r="Q27" i="6"/>
  <c r="F50" i="6"/>
  <c r="L50" i="6"/>
  <c r="R27" i="6"/>
  <c r="F51" i="6"/>
  <c r="L51" i="6"/>
  <c r="S27" i="6"/>
  <c r="E52" i="6"/>
  <c r="K52" i="6"/>
  <c r="P28" i="6"/>
  <c r="E53" i="6"/>
  <c r="K53" i="6"/>
  <c r="Q28" i="6"/>
  <c r="F52" i="6"/>
  <c r="L52" i="6"/>
  <c r="R28" i="6"/>
  <c r="F53" i="6"/>
  <c r="L53" i="6"/>
  <c r="S28" i="6"/>
  <c r="E54" i="6"/>
  <c r="K54" i="6"/>
  <c r="P29" i="6"/>
  <c r="E55" i="6"/>
  <c r="K55" i="6"/>
  <c r="Q29" i="6"/>
  <c r="F54" i="6"/>
  <c r="L54" i="6"/>
  <c r="R29" i="6"/>
  <c r="F55" i="6"/>
  <c r="L55" i="6"/>
  <c r="S29" i="6"/>
  <c r="E56" i="6"/>
  <c r="K56" i="6"/>
  <c r="P30" i="6"/>
  <c r="E57" i="6"/>
  <c r="K57" i="6"/>
  <c r="Q30" i="6"/>
  <c r="F56" i="6"/>
  <c r="L56" i="6"/>
  <c r="R30" i="6"/>
  <c r="F57" i="6"/>
  <c r="L57" i="6"/>
  <c r="S30" i="6"/>
  <c r="E58" i="6"/>
  <c r="K58" i="6"/>
  <c r="P31" i="6"/>
  <c r="E59" i="6"/>
  <c r="K59" i="6"/>
  <c r="Q31" i="6"/>
  <c r="F58" i="6"/>
  <c r="L58" i="6"/>
  <c r="R31" i="6"/>
  <c r="F59" i="6"/>
  <c r="L59" i="6"/>
  <c r="S31" i="6"/>
  <c r="E60" i="6"/>
  <c r="K60" i="6"/>
  <c r="P32" i="6"/>
  <c r="E61" i="6"/>
  <c r="K61" i="6"/>
  <c r="Q32" i="6"/>
  <c r="F60" i="6"/>
  <c r="L60" i="6"/>
  <c r="R32" i="6"/>
  <c r="F61" i="6"/>
  <c r="L61" i="6"/>
  <c r="S32" i="6"/>
  <c r="E62" i="6"/>
  <c r="K62" i="6"/>
  <c r="P33" i="6"/>
  <c r="E63" i="6"/>
  <c r="K63" i="6"/>
  <c r="Q33" i="6"/>
  <c r="F62" i="6"/>
  <c r="L62" i="6"/>
  <c r="R33" i="6"/>
  <c r="F63" i="6"/>
  <c r="L63" i="6"/>
  <c r="S33" i="6"/>
  <c r="E64" i="6"/>
  <c r="K64" i="6"/>
  <c r="P34" i="6"/>
  <c r="E65" i="6"/>
  <c r="K65" i="6"/>
  <c r="Q34" i="6"/>
  <c r="F64" i="6"/>
  <c r="L64" i="6"/>
  <c r="R34" i="6"/>
  <c r="F65" i="6"/>
  <c r="L65" i="6"/>
  <c r="S34" i="6"/>
  <c r="E66" i="6"/>
  <c r="K66" i="6"/>
  <c r="P35" i="6"/>
  <c r="E67" i="6"/>
  <c r="K67" i="6"/>
  <c r="Q35" i="6"/>
  <c r="F66" i="6"/>
  <c r="L66" i="6"/>
  <c r="R35" i="6"/>
  <c r="F67" i="6"/>
  <c r="L67" i="6"/>
  <c r="S35" i="6"/>
  <c r="E68" i="6"/>
  <c r="K68" i="6"/>
  <c r="P36" i="6"/>
  <c r="E69" i="6"/>
  <c r="K69" i="6"/>
  <c r="Q36" i="6"/>
  <c r="F68" i="6"/>
  <c r="L68" i="6"/>
  <c r="R36" i="6"/>
  <c r="F69" i="6"/>
  <c r="L69" i="6"/>
  <c r="S36" i="6"/>
  <c r="E70" i="6"/>
  <c r="K70" i="6"/>
  <c r="P37" i="6"/>
  <c r="E71" i="6"/>
  <c r="K71" i="6"/>
  <c r="Q37" i="6"/>
  <c r="F70" i="6"/>
  <c r="L70" i="6"/>
  <c r="R37" i="6"/>
  <c r="F71" i="6"/>
  <c r="L71" i="6"/>
  <c r="S37" i="6"/>
  <c r="E72" i="6"/>
  <c r="K72" i="6"/>
  <c r="P38" i="6"/>
  <c r="E73" i="6"/>
  <c r="K73" i="6"/>
  <c r="Q38" i="6"/>
  <c r="F72" i="6"/>
  <c r="L72" i="6"/>
  <c r="R38" i="6"/>
  <c r="F73" i="6"/>
  <c r="L73" i="6"/>
  <c r="S38" i="6"/>
  <c r="E74" i="6"/>
  <c r="K74" i="6"/>
  <c r="P39" i="6"/>
  <c r="E75" i="6"/>
  <c r="K75" i="6"/>
  <c r="Q39" i="6"/>
  <c r="F74" i="6"/>
  <c r="L74" i="6"/>
  <c r="R39" i="6"/>
  <c r="F75" i="6"/>
  <c r="L75" i="6"/>
  <c r="S39" i="6"/>
  <c r="E76" i="6"/>
  <c r="K76" i="6"/>
  <c r="P40" i="6"/>
  <c r="E77" i="6"/>
  <c r="K77" i="6"/>
  <c r="Q40" i="6"/>
  <c r="F76" i="6"/>
  <c r="L76" i="6"/>
  <c r="R40" i="6"/>
  <c r="F77" i="6"/>
  <c r="L77" i="6"/>
  <c r="S40" i="6"/>
  <c r="E78" i="6"/>
  <c r="K78" i="6"/>
  <c r="P41" i="6"/>
  <c r="E79" i="6"/>
  <c r="K79" i="6"/>
  <c r="Q41" i="6"/>
  <c r="F78" i="6"/>
  <c r="L78" i="6"/>
  <c r="R41" i="6"/>
  <c r="F79" i="6"/>
  <c r="L79" i="6"/>
  <c r="S41" i="6"/>
  <c r="E80" i="6"/>
  <c r="K80" i="6"/>
  <c r="P42" i="6"/>
  <c r="E81" i="6"/>
  <c r="K81" i="6"/>
  <c r="Q42" i="6"/>
  <c r="F80" i="6"/>
  <c r="L80" i="6"/>
  <c r="R42" i="6"/>
  <c r="F81" i="6"/>
  <c r="L81" i="6"/>
  <c r="S42" i="6"/>
  <c r="E82" i="6"/>
  <c r="K82" i="6"/>
  <c r="P43" i="6"/>
  <c r="E83" i="6"/>
  <c r="K83" i="6"/>
  <c r="Q43" i="6"/>
  <c r="F82" i="6"/>
  <c r="L82" i="6"/>
  <c r="R43" i="6"/>
  <c r="F83" i="6"/>
  <c r="L83" i="6"/>
  <c r="S43" i="6"/>
  <c r="E84" i="6"/>
  <c r="K84" i="6"/>
  <c r="P44" i="6"/>
  <c r="E85" i="6"/>
  <c r="K85" i="6"/>
  <c r="Q44" i="6"/>
  <c r="F84" i="6"/>
  <c r="L84" i="6"/>
  <c r="R44" i="6"/>
  <c r="F85" i="6"/>
  <c r="L85" i="6"/>
  <c r="S44" i="6"/>
  <c r="E86" i="6"/>
  <c r="K86" i="6"/>
  <c r="P45" i="6"/>
  <c r="E87" i="6"/>
  <c r="K87" i="6"/>
  <c r="Q45" i="6"/>
  <c r="F86" i="6"/>
  <c r="L86" i="6"/>
  <c r="R45" i="6"/>
  <c r="F87" i="6"/>
  <c r="L87" i="6"/>
  <c r="S45" i="6"/>
  <c r="E88" i="6"/>
  <c r="K88" i="6"/>
  <c r="P46" i="6"/>
  <c r="E89" i="6"/>
  <c r="K89" i="6"/>
  <c r="Q46" i="6"/>
  <c r="F88" i="6"/>
  <c r="L88" i="6"/>
  <c r="R46" i="6"/>
  <c r="F89" i="6"/>
  <c r="L89" i="6"/>
  <c r="S46" i="6"/>
  <c r="E90" i="6"/>
  <c r="K90" i="6"/>
  <c r="P47" i="6"/>
  <c r="E91" i="6"/>
  <c r="K91" i="6"/>
  <c r="Q47" i="6"/>
  <c r="F90" i="6"/>
  <c r="L90" i="6"/>
  <c r="R47" i="6"/>
  <c r="F91" i="6"/>
  <c r="L91" i="6"/>
  <c r="S47" i="6"/>
  <c r="E92" i="6"/>
  <c r="K92" i="6"/>
  <c r="P48" i="6"/>
  <c r="E93" i="6"/>
  <c r="K93" i="6"/>
  <c r="Q48" i="6"/>
  <c r="F92" i="6"/>
  <c r="L92" i="6"/>
  <c r="R48" i="6"/>
  <c r="F93" i="6"/>
  <c r="L93" i="6"/>
  <c r="S48" i="6"/>
  <c r="E94" i="6"/>
  <c r="K94" i="6"/>
  <c r="P49" i="6"/>
  <c r="E95" i="6"/>
  <c r="K95" i="6"/>
  <c r="Q49" i="6"/>
  <c r="F94" i="6"/>
  <c r="L94" i="6"/>
  <c r="R49" i="6"/>
  <c r="F95" i="6"/>
  <c r="L95" i="6"/>
  <c r="S49" i="6"/>
  <c r="E96" i="6"/>
  <c r="K96" i="6"/>
  <c r="P50" i="6"/>
  <c r="E97" i="6"/>
  <c r="K97" i="6"/>
  <c r="Q50" i="6"/>
  <c r="F96" i="6"/>
  <c r="L96" i="6"/>
  <c r="R50" i="6"/>
  <c r="F97" i="6"/>
  <c r="L97" i="6"/>
  <c r="S50" i="6"/>
  <c r="E98" i="6"/>
  <c r="K98" i="6"/>
  <c r="P51" i="6"/>
  <c r="E99" i="6"/>
  <c r="K99" i="6"/>
  <c r="Q51" i="6"/>
  <c r="F98" i="6"/>
  <c r="L98" i="6"/>
  <c r="R51" i="6"/>
  <c r="F99" i="6"/>
  <c r="L99" i="6"/>
  <c r="S51" i="6"/>
  <c r="E100" i="6"/>
  <c r="K100" i="6"/>
  <c r="P52" i="6"/>
  <c r="E101" i="6"/>
  <c r="K101" i="6"/>
  <c r="Q52" i="6"/>
  <c r="F100" i="6"/>
  <c r="L100" i="6"/>
  <c r="R52" i="6"/>
  <c r="F101" i="6"/>
  <c r="L101" i="6"/>
  <c r="S52" i="6"/>
  <c r="E102" i="6"/>
  <c r="K102" i="6"/>
  <c r="P53" i="6"/>
  <c r="E103" i="6"/>
  <c r="K103" i="6"/>
  <c r="Q53" i="6"/>
  <c r="F102" i="6"/>
  <c r="L102" i="6"/>
  <c r="R53" i="6"/>
  <c r="F103" i="6"/>
  <c r="L103" i="6"/>
  <c r="S53" i="6"/>
  <c r="E104" i="6"/>
  <c r="K104" i="6"/>
  <c r="P54" i="6"/>
  <c r="E105" i="6"/>
  <c r="K105" i="6"/>
  <c r="Q54" i="6"/>
  <c r="F104" i="6"/>
  <c r="L104" i="6"/>
  <c r="R54" i="6"/>
  <c r="F105" i="6"/>
  <c r="L105" i="6"/>
  <c r="S54" i="6"/>
  <c r="E106" i="6"/>
  <c r="K106" i="6"/>
  <c r="P55" i="6"/>
  <c r="E107" i="6"/>
  <c r="K107" i="6"/>
  <c r="Q55" i="6"/>
  <c r="F106" i="6"/>
  <c r="L106" i="6"/>
  <c r="R55" i="6"/>
  <c r="F107" i="6"/>
  <c r="L107" i="6"/>
  <c r="S55" i="6"/>
  <c r="E108" i="6"/>
  <c r="K108" i="6"/>
  <c r="P56" i="6"/>
  <c r="E109" i="6"/>
  <c r="K109" i="6"/>
  <c r="Q56" i="6"/>
  <c r="F108" i="6"/>
  <c r="L108" i="6"/>
  <c r="R56" i="6"/>
  <c r="F109" i="6"/>
  <c r="L109" i="6"/>
  <c r="S56" i="6"/>
  <c r="E110" i="6"/>
  <c r="K110" i="6"/>
  <c r="P57" i="6"/>
  <c r="E111" i="6"/>
  <c r="K111" i="6"/>
  <c r="Q57" i="6"/>
  <c r="F110" i="6"/>
  <c r="L110" i="6"/>
  <c r="R57" i="6"/>
  <c r="F111" i="6"/>
  <c r="L111" i="6"/>
  <c r="S57" i="6"/>
  <c r="E112" i="6"/>
  <c r="K112" i="6"/>
  <c r="P58" i="6"/>
  <c r="E113" i="6"/>
  <c r="K113" i="6"/>
  <c r="Q58" i="6"/>
  <c r="F112" i="6"/>
  <c r="L112" i="6"/>
  <c r="R58" i="6"/>
  <c r="F113" i="6"/>
  <c r="L113" i="6"/>
  <c r="S58" i="6"/>
  <c r="E114" i="6"/>
  <c r="K114" i="6"/>
  <c r="P59" i="6"/>
  <c r="E115" i="6"/>
  <c r="K115" i="6"/>
  <c r="Q59" i="6"/>
  <c r="F114" i="6"/>
  <c r="L114" i="6"/>
  <c r="R59" i="6"/>
  <c r="F115" i="6"/>
  <c r="L115" i="6"/>
  <c r="S59" i="6"/>
  <c r="E116" i="6"/>
  <c r="K116" i="6"/>
  <c r="P60" i="6"/>
  <c r="E117" i="6"/>
  <c r="K117" i="6"/>
  <c r="Q60" i="6"/>
  <c r="F116" i="6"/>
  <c r="L116" i="6"/>
  <c r="R60" i="6"/>
  <c r="F117" i="6"/>
  <c r="L117" i="6"/>
  <c r="S60" i="6"/>
  <c r="E118" i="6"/>
  <c r="K118" i="6"/>
  <c r="P61" i="6"/>
  <c r="E119" i="6"/>
  <c r="K119" i="6"/>
  <c r="Q61" i="6"/>
  <c r="F118" i="6"/>
  <c r="L118" i="6"/>
  <c r="R61" i="6"/>
  <c r="F119" i="6"/>
  <c r="L119" i="6"/>
  <c r="S61" i="6"/>
  <c r="E120" i="6"/>
  <c r="K120" i="6"/>
  <c r="P62" i="6"/>
  <c r="E121" i="6"/>
  <c r="K121" i="6"/>
  <c r="Q62" i="6"/>
  <c r="F120" i="6"/>
  <c r="L120" i="6"/>
  <c r="R62" i="6"/>
  <c r="F121" i="6"/>
  <c r="L121" i="6"/>
  <c r="S62" i="6"/>
  <c r="E122" i="6"/>
  <c r="K122" i="6"/>
  <c r="P63" i="6"/>
  <c r="E123" i="6"/>
  <c r="K123" i="6"/>
  <c r="Q63" i="6"/>
  <c r="F122" i="6"/>
  <c r="L122" i="6"/>
  <c r="R63" i="6"/>
  <c r="F123" i="6"/>
  <c r="L123" i="6"/>
  <c r="S63" i="6"/>
  <c r="E124" i="6"/>
  <c r="K124" i="6"/>
  <c r="P64" i="6"/>
  <c r="E125" i="6"/>
  <c r="K125" i="6"/>
  <c r="Q64" i="6"/>
  <c r="F124" i="6"/>
  <c r="L124" i="6"/>
  <c r="R64" i="6"/>
  <c r="F125" i="6"/>
  <c r="L125" i="6"/>
  <c r="S64" i="6"/>
  <c r="E126" i="6"/>
  <c r="K126" i="6"/>
  <c r="P65" i="6"/>
  <c r="E127" i="6"/>
  <c r="K127" i="6"/>
  <c r="Q65" i="6"/>
  <c r="F126" i="6"/>
  <c r="L126" i="6"/>
  <c r="R65" i="6"/>
  <c r="F127" i="6"/>
  <c r="L127" i="6"/>
  <c r="S65" i="6"/>
  <c r="E128" i="6"/>
  <c r="K128" i="6"/>
  <c r="P66" i="6"/>
  <c r="E129" i="6"/>
  <c r="K129" i="6"/>
  <c r="Q66" i="6"/>
  <c r="F128" i="6"/>
  <c r="L128" i="6"/>
  <c r="R66" i="6"/>
  <c r="F129" i="6"/>
  <c r="L129" i="6"/>
  <c r="S66" i="6"/>
  <c r="E130" i="6"/>
  <c r="K130" i="6"/>
  <c r="P67" i="6"/>
  <c r="E131" i="6"/>
  <c r="K131" i="6"/>
  <c r="Q67" i="6"/>
  <c r="F130" i="6"/>
  <c r="L130" i="6"/>
  <c r="R67" i="6"/>
  <c r="F131" i="6"/>
  <c r="L131" i="6"/>
  <c r="S67" i="6"/>
  <c r="E132" i="6"/>
  <c r="K132" i="6"/>
  <c r="P68" i="6"/>
  <c r="E133" i="6"/>
  <c r="K133" i="6"/>
  <c r="Q68" i="6"/>
  <c r="F132" i="6"/>
  <c r="L132" i="6"/>
  <c r="R68" i="6"/>
  <c r="F133" i="6"/>
  <c r="L133" i="6"/>
  <c r="S68" i="6"/>
  <c r="E134" i="6"/>
  <c r="K134" i="6"/>
  <c r="P69" i="6"/>
  <c r="E135" i="6"/>
  <c r="K135" i="6"/>
  <c r="Q69" i="6"/>
  <c r="F134" i="6"/>
  <c r="L134" i="6"/>
  <c r="R69" i="6"/>
  <c r="F135" i="6"/>
  <c r="L135" i="6"/>
  <c r="S69" i="6"/>
  <c r="E136" i="6"/>
  <c r="K136" i="6"/>
  <c r="P70" i="6"/>
  <c r="E137" i="6"/>
  <c r="K137" i="6"/>
  <c r="Q70" i="6"/>
  <c r="F136" i="6"/>
  <c r="L136" i="6"/>
  <c r="R70" i="6"/>
  <c r="F137" i="6"/>
  <c r="L137" i="6"/>
  <c r="S70" i="6"/>
  <c r="E138" i="6"/>
  <c r="K138" i="6"/>
  <c r="P71" i="6"/>
  <c r="E139" i="6"/>
  <c r="K139" i="6"/>
  <c r="Q71" i="6"/>
  <c r="F138" i="6"/>
  <c r="L138" i="6"/>
  <c r="R71" i="6"/>
  <c r="F139" i="6"/>
  <c r="L139" i="6"/>
  <c r="S71" i="6"/>
  <c r="E140" i="6"/>
  <c r="K140" i="6"/>
  <c r="P72" i="6"/>
  <c r="E141" i="6"/>
  <c r="K141" i="6"/>
  <c r="Q72" i="6"/>
  <c r="F140" i="6"/>
  <c r="L140" i="6"/>
  <c r="R72" i="6"/>
  <c r="F141" i="6"/>
  <c r="L141" i="6"/>
  <c r="S72" i="6"/>
  <c r="E142" i="6"/>
  <c r="K142" i="6"/>
  <c r="P73" i="6"/>
  <c r="E143" i="6"/>
  <c r="K143" i="6"/>
  <c r="Q73" i="6"/>
  <c r="F142" i="6"/>
  <c r="L142" i="6"/>
  <c r="R73" i="6"/>
  <c r="F143" i="6"/>
  <c r="L143" i="6"/>
  <c r="S73" i="6"/>
  <c r="E144" i="6"/>
  <c r="K144" i="6"/>
  <c r="P74" i="6"/>
  <c r="E145" i="6"/>
  <c r="K145" i="6"/>
  <c r="Q74" i="6"/>
  <c r="F144" i="6"/>
  <c r="L144" i="6"/>
  <c r="R74" i="6"/>
  <c r="F145" i="6"/>
  <c r="L145" i="6"/>
  <c r="S74" i="6"/>
  <c r="E146" i="6"/>
  <c r="K146" i="6"/>
  <c r="P75" i="6"/>
  <c r="E147" i="6"/>
  <c r="K147" i="6"/>
  <c r="Q75" i="6"/>
  <c r="F146" i="6"/>
  <c r="L146" i="6"/>
  <c r="R75" i="6"/>
  <c r="F147" i="6"/>
  <c r="L147" i="6"/>
  <c r="S75" i="6"/>
  <c r="E148" i="6"/>
  <c r="K148" i="6"/>
  <c r="P76" i="6"/>
  <c r="E149" i="6"/>
  <c r="K149" i="6"/>
  <c r="Q76" i="6"/>
  <c r="F148" i="6"/>
  <c r="L148" i="6"/>
  <c r="R76" i="6"/>
  <c r="F149" i="6"/>
  <c r="L149" i="6"/>
  <c r="S76" i="6"/>
  <c r="E150" i="6"/>
  <c r="K150" i="6"/>
  <c r="P77" i="6"/>
  <c r="E151" i="6"/>
  <c r="K151" i="6"/>
  <c r="Q77" i="6"/>
  <c r="F150" i="6"/>
  <c r="L150" i="6"/>
  <c r="R77" i="6"/>
  <c r="F151" i="6"/>
  <c r="L151" i="6"/>
  <c r="S77" i="6"/>
  <c r="E152" i="6"/>
  <c r="K152" i="6"/>
  <c r="P78" i="6"/>
  <c r="E153" i="6"/>
  <c r="K153" i="6"/>
  <c r="Q78" i="6"/>
  <c r="F152" i="6"/>
  <c r="L152" i="6"/>
  <c r="R78" i="6"/>
  <c r="F153" i="6"/>
  <c r="L153" i="6"/>
  <c r="S78" i="6"/>
  <c r="E154" i="6"/>
  <c r="K154" i="6"/>
  <c r="P79" i="6"/>
  <c r="E155" i="6"/>
  <c r="K155" i="6"/>
  <c r="Q79" i="6"/>
  <c r="F154" i="6"/>
  <c r="L154" i="6"/>
  <c r="R79" i="6"/>
  <c r="F155" i="6"/>
  <c r="L155" i="6"/>
  <c r="S79" i="6"/>
  <c r="E156" i="6"/>
  <c r="K156" i="6"/>
  <c r="P80" i="6"/>
  <c r="E157" i="6"/>
  <c r="K157" i="6"/>
  <c r="Q80" i="6"/>
  <c r="F156" i="6"/>
  <c r="L156" i="6"/>
  <c r="R80" i="6"/>
  <c r="F157" i="6"/>
  <c r="L157" i="6"/>
  <c r="S80" i="6"/>
  <c r="E158" i="6"/>
  <c r="K158" i="6"/>
  <c r="P81" i="6"/>
  <c r="E159" i="6"/>
  <c r="K159" i="6"/>
  <c r="Q81" i="6"/>
  <c r="F158" i="6"/>
  <c r="L158" i="6"/>
  <c r="R81" i="6"/>
  <c r="F159" i="6"/>
  <c r="L159" i="6"/>
  <c r="S81" i="6"/>
  <c r="E160" i="6"/>
  <c r="K160" i="6"/>
  <c r="P82" i="6"/>
  <c r="E161" i="6"/>
  <c r="K161" i="6"/>
  <c r="Q82" i="6"/>
  <c r="F160" i="6"/>
  <c r="L160" i="6"/>
  <c r="R82" i="6"/>
  <c r="F161" i="6"/>
  <c r="L161" i="6"/>
  <c r="S82" i="6"/>
  <c r="E162" i="6"/>
  <c r="K162" i="6"/>
  <c r="P83" i="6"/>
  <c r="E163" i="6"/>
  <c r="K163" i="6"/>
  <c r="Q83" i="6"/>
  <c r="F162" i="6"/>
  <c r="L162" i="6"/>
  <c r="R83" i="6"/>
  <c r="F163" i="6"/>
  <c r="L163" i="6"/>
  <c r="S83" i="6"/>
  <c r="E164" i="6"/>
  <c r="K164" i="6"/>
  <c r="P84" i="6"/>
  <c r="E165" i="6"/>
  <c r="K165" i="6"/>
  <c r="Q84" i="6"/>
  <c r="F164" i="6"/>
  <c r="L164" i="6"/>
  <c r="R84" i="6"/>
  <c r="F165" i="6"/>
  <c r="L165" i="6"/>
  <c r="S84" i="6"/>
  <c r="E166" i="6"/>
  <c r="K166" i="6"/>
  <c r="P85" i="6"/>
  <c r="E167" i="6"/>
  <c r="K167" i="6"/>
  <c r="Q85" i="6"/>
  <c r="F166" i="6"/>
  <c r="L166" i="6"/>
  <c r="R85" i="6"/>
  <c r="F167" i="6"/>
  <c r="L167" i="6"/>
  <c r="S85" i="6"/>
  <c r="E168" i="6"/>
  <c r="K168" i="6"/>
  <c r="P86" i="6"/>
  <c r="E169" i="6"/>
  <c r="K169" i="6"/>
  <c r="Q86" i="6"/>
  <c r="F168" i="6"/>
  <c r="L168" i="6"/>
  <c r="R86" i="6"/>
  <c r="F169" i="6"/>
  <c r="L169" i="6"/>
  <c r="S86" i="6"/>
  <c r="E170" i="6"/>
  <c r="K170" i="6"/>
  <c r="P87" i="6"/>
  <c r="E171" i="6"/>
  <c r="K171" i="6"/>
  <c r="Q87" i="6"/>
  <c r="F170" i="6"/>
  <c r="L170" i="6"/>
  <c r="R87" i="6"/>
  <c r="F171" i="6"/>
  <c r="L171" i="6"/>
  <c r="S87" i="6"/>
  <c r="E172" i="6"/>
  <c r="K172" i="6"/>
  <c r="P88" i="6"/>
  <c r="E173" i="6"/>
  <c r="K173" i="6"/>
  <c r="Q88" i="6"/>
  <c r="F172" i="6"/>
  <c r="L172" i="6"/>
  <c r="R88" i="6"/>
  <c r="F173" i="6"/>
  <c r="L173" i="6"/>
  <c r="S88" i="6"/>
  <c r="E174" i="6"/>
  <c r="K174" i="6"/>
  <c r="P89" i="6"/>
  <c r="E175" i="6"/>
  <c r="K175" i="6"/>
  <c r="Q89" i="6"/>
  <c r="F174" i="6"/>
  <c r="L174" i="6"/>
  <c r="R89" i="6"/>
  <c r="F175" i="6"/>
  <c r="L175" i="6"/>
  <c r="S89" i="6"/>
  <c r="E176" i="6"/>
  <c r="K176" i="6"/>
  <c r="P90" i="6"/>
  <c r="E177" i="6"/>
  <c r="K177" i="6"/>
  <c r="Q90" i="6"/>
  <c r="F176" i="6"/>
  <c r="L176" i="6"/>
  <c r="R90" i="6"/>
  <c r="F177" i="6"/>
  <c r="L177" i="6"/>
  <c r="S90" i="6"/>
  <c r="E178" i="6"/>
  <c r="K178" i="6"/>
  <c r="P91" i="6"/>
  <c r="E179" i="6"/>
  <c r="K179" i="6"/>
  <c r="Q91" i="6"/>
  <c r="F178" i="6"/>
  <c r="L178" i="6"/>
  <c r="R91" i="6"/>
  <c r="F179" i="6"/>
  <c r="L179" i="6"/>
  <c r="S91" i="6"/>
  <c r="E180" i="6"/>
  <c r="K180" i="6"/>
  <c r="P92" i="6"/>
  <c r="E181" i="6"/>
  <c r="K181" i="6"/>
  <c r="Q92" i="6"/>
  <c r="F180" i="6"/>
  <c r="L180" i="6"/>
  <c r="R92" i="6"/>
  <c r="F181" i="6"/>
  <c r="L181" i="6"/>
  <c r="S92" i="6"/>
  <c r="E182" i="6"/>
  <c r="K182" i="6"/>
  <c r="P93" i="6"/>
  <c r="E183" i="6"/>
  <c r="K183" i="6"/>
  <c r="Q93" i="6"/>
  <c r="F182" i="6"/>
  <c r="L182" i="6"/>
  <c r="R93" i="6"/>
  <c r="F183" i="6"/>
  <c r="L183" i="6"/>
  <c r="S93" i="6"/>
  <c r="E184" i="6"/>
  <c r="K184" i="6"/>
  <c r="P94" i="6"/>
  <c r="E185" i="6"/>
  <c r="K185" i="6"/>
  <c r="Q94" i="6"/>
  <c r="F184" i="6"/>
  <c r="L184" i="6"/>
  <c r="R94" i="6"/>
  <c r="F185" i="6"/>
  <c r="L185" i="6"/>
  <c r="S94" i="6"/>
  <c r="E186" i="6"/>
  <c r="K186" i="6"/>
  <c r="P95" i="6"/>
  <c r="E187" i="6"/>
  <c r="K187" i="6"/>
  <c r="Q95" i="6"/>
  <c r="F186" i="6"/>
  <c r="L186" i="6"/>
  <c r="R95" i="6"/>
  <c r="F187" i="6"/>
  <c r="L187" i="6"/>
  <c r="S95" i="6"/>
  <c r="E188" i="6"/>
  <c r="K188" i="6"/>
  <c r="P96" i="6"/>
  <c r="E189" i="6"/>
  <c r="K189" i="6"/>
  <c r="Q96" i="6"/>
  <c r="F188" i="6"/>
  <c r="L188" i="6"/>
  <c r="R96" i="6"/>
  <c r="F189" i="6"/>
  <c r="L189" i="6"/>
  <c r="S96" i="6"/>
  <c r="E190" i="6"/>
  <c r="K190" i="6"/>
  <c r="P97" i="6"/>
  <c r="E191" i="6"/>
  <c r="K191" i="6"/>
  <c r="Q97" i="6"/>
  <c r="F190" i="6"/>
  <c r="L190" i="6"/>
  <c r="R97" i="6"/>
  <c r="F191" i="6"/>
  <c r="L191" i="6"/>
  <c r="S97" i="6"/>
  <c r="E192" i="6"/>
  <c r="K192" i="6"/>
  <c r="P98" i="6"/>
  <c r="E193" i="6"/>
  <c r="K193" i="6"/>
  <c r="Q98" i="6"/>
  <c r="F192" i="6"/>
  <c r="L192" i="6"/>
  <c r="R98" i="6"/>
  <c r="F193" i="6"/>
  <c r="L193" i="6"/>
  <c r="S98" i="6"/>
  <c r="E194" i="6"/>
  <c r="K194" i="6"/>
  <c r="P99" i="6"/>
  <c r="E195" i="6"/>
  <c r="K195" i="6"/>
  <c r="Q99" i="6"/>
  <c r="F194" i="6"/>
  <c r="L194" i="6"/>
  <c r="R99" i="6"/>
  <c r="F195" i="6"/>
  <c r="L195" i="6"/>
  <c r="S99" i="6"/>
  <c r="E196" i="6"/>
  <c r="K196" i="6"/>
  <c r="P100" i="6"/>
  <c r="E197" i="6"/>
  <c r="K197" i="6"/>
  <c r="Q100" i="6"/>
  <c r="F196" i="6"/>
  <c r="L196" i="6"/>
  <c r="R100" i="6"/>
  <c r="F197" i="6"/>
  <c r="L197" i="6"/>
  <c r="S100" i="6"/>
  <c r="E198" i="6"/>
  <c r="K198" i="6"/>
  <c r="P101" i="6"/>
  <c r="E199" i="6"/>
  <c r="K199" i="6"/>
  <c r="Q101" i="6"/>
  <c r="F198" i="6"/>
  <c r="L198" i="6"/>
  <c r="R101" i="6"/>
  <c r="F199" i="6"/>
  <c r="L199" i="6"/>
  <c r="S101" i="6"/>
  <c r="E200" i="6"/>
  <c r="K200" i="6"/>
  <c r="P102" i="6"/>
  <c r="E201" i="6"/>
  <c r="K201" i="6"/>
  <c r="Q102" i="6"/>
  <c r="F200" i="6"/>
  <c r="L200" i="6"/>
  <c r="R102" i="6"/>
  <c r="F201" i="6"/>
  <c r="L201" i="6"/>
  <c r="S102" i="6"/>
  <c r="E202" i="6"/>
  <c r="K202" i="6"/>
  <c r="P103" i="6"/>
  <c r="E203" i="6"/>
  <c r="K203" i="6"/>
  <c r="Q103" i="6"/>
  <c r="F202" i="6"/>
  <c r="L202" i="6"/>
  <c r="R103" i="6"/>
  <c r="F203" i="6"/>
  <c r="L203" i="6"/>
  <c r="S103" i="6"/>
  <c r="E204" i="6"/>
  <c r="K204" i="6"/>
  <c r="P104" i="6"/>
  <c r="E205" i="6"/>
  <c r="K205" i="6"/>
  <c r="Q104" i="6"/>
  <c r="F204" i="6"/>
  <c r="L204" i="6"/>
  <c r="R104" i="6"/>
  <c r="F205" i="6"/>
  <c r="L205" i="6"/>
  <c r="S104" i="6"/>
  <c r="E206" i="6"/>
  <c r="K206" i="6"/>
  <c r="P105" i="6"/>
  <c r="E207" i="6"/>
  <c r="K207" i="6"/>
  <c r="Q105" i="6"/>
  <c r="F206" i="6"/>
  <c r="L206" i="6"/>
  <c r="R105" i="6"/>
  <c r="F207" i="6"/>
  <c r="L207" i="6"/>
  <c r="S105" i="6"/>
  <c r="E208" i="6"/>
  <c r="K208" i="6"/>
  <c r="P106" i="6"/>
  <c r="E209" i="6"/>
  <c r="K209" i="6"/>
  <c r="Q106" i="6"/>
  <c r="F208" i="6"/>
  <c r="L208" i="6"/>
  <c r="R106" i="6"/>
  <c r="F209" i="6"/>
  <c r="L209" i="6"/>
  <c r="S106" i="6"/>
  <c r="E210" i="6"/>
  <c r="K210" i="6"/>
  <c r="P107" i="6"/>
  <c r="E211" i="6"/>
  <c r="K211" i="6"/>
  <c r="Q107" i="6"/>
  <c r="F210" i="6"/>
  <c r="L210" i="6"/>
  <c r="R107" i="6"/>
  <c r="F211" i="6"/>
  <c r="L211" i="6"/>
  <c r="S107" i="6"/>
  <c r="E212" i="6"/>
  <c r="K212" i="6"/>
  <c r="P108" i="6"/>
  <c r="E213" i="6"/>
  <c r="K213" i="6"/>
  <c r="Q108" i="6"/>
  <c r="F212" i="6"/>
  <c r="L212" i="6"/>
  <c r="R108" i="6"/>
  <c r="F213" i="6"/>
  <c r="L213" i="6"/>
  <c r="S108" i="6"/>
  <c r="E214" i="6"/>
  <c r="K214" i="6"/>
  <c r="P109" i="6"/>
  <c r="E215" i="6"/>
  <c r="K215" i="6"/>
  <c r="Q109" i="6"/>
  <c r="F214" i="6"/>
  <c r="L214" i="6"/>
  <c r="R109" i="6"/>
  <c r="F215" i="6"/>
  <c r="L215" i="6"/>
  <c r="S109" i="6"/>
  <c r="E216" i="6"/>
  <c r="K216" i="6"/>
  <c r="P110" i="6"/>
  <c r="E217" i="6"/>
  <c r="K217" i="6"/>
  <c r="Q110" i="6"/>
  <c r="F216" i="6"/>
  <c r="L216" i="6"/>
  <c r="R110" i="6"/>
  <c r="F217" i="6"/>
  <c r="L217" i="6"/>
  <c r="S110" i="6"/>
  <c r="E218" i="6"/>
  <c r="K218" i="6"/>
  <c r="P111" i="6"/>
  <c r="E219" i="6"/>
  <c r="K219" i="6"/>
  <c r="Q111" i="6"/>
  <c r="F218" i="6"/>
  <c r="L218" i="6"/>
  <c r="R111" i="6"/>
  <c r="F219" i="6"/>
  <c r="L219" i="6"/>
  <c r="S111" i="6"/>
  <c r="E220" i="6"/>
  <c r="K220" i="6"/>
  <c r="P112" i="6"/>
  <c r="E221" i="6"/>
  <c r="K221" i="6"/>
  <c r="Q112" i="6"/>
  <c r="F220" i="6"/>
  <c r="L220" i="6"/>
  <c r="R112" i="6"/>
  <c r="F221" i="6"/>
  <c r="L221" i="6"/>
  <c r="S112" i="6"/>
  <c r="E222" i="6"/>
  <c r="K222" i="6"/>
  <c r="P113" i="6"/>
  <c r="E223" i="6"/>
  <c r="K223" i="6"/>
  <c r="Q113" i="6"/>
  <c r="F222" i="6"/>
  <c r="L222" i="6"/>
  <c r="R113" i="6"/>
  <c r="F223" i="6"/>
  <c r="L223" i="6"/>
  <c r="S113" i="6"/>
  <c r="E224" i="6"/>
  <c r="K224" i="6"/>
  <c r="P114" i="6"/>
  <c r="E225" i="6"/>
  <c r="K225" i="6"/>
  <c r="Q114" i="6"/>
  <c r="F224" i="6"/>
  <c r="L224" i="6"/>
  <c r="R114" i="6"/>
  <c r="F225" i="6"/>
  <c r="L225" i="6"/>
  <c r="S114" i="6"/>
  <c r="E226" i="6"/>
  <c r="K226" i="6"/>
  <c r="P115" i="6"/>
  <c r="E227" i="6"/>
  <c r="K227" i="6"/>
  <c r="Q115" i="6"/>
  <c r="F226" i="6"/>
  <c r="L226" i="6"/>
  <c r="R115" i="6"/>
  <c r="F227" i="6"/>
  <c r="L227" i="6"/>
  <c r="S115" i="6"/>
  <c r="E228" i="6"/>
  <c r="K228" i="6"/>
  <c r="P116" i="6"/>
  <c r="E229" i="6"/>
  <c r="K229" i="6"/>
  <c r="Q116" i="6"/>
  <c r="F228" i="6"/>
  <c r="L228" i="6"/>
  <c r="R116" i="6"/>
  <c r="F229" i="6"/>
  <c r="L229" i="6"/>
  <c r="S116" i="6"/>
  <c r="E230" i="6"/>
  <c r="K230" i="6"/>
  <c r="P117" i="6"/>
  <c r="E231" i="6"/>
  <c r="K231" i="6"/>
  <c r="Q117" i="6"/>
  <c r="F230" i="6"/>
  <c r="L230" i="6"/>
  <c r="R117" i="6"/>
  <c r="F231" i="6"/>
  <c r="L231" i="6"/>
  <c r="S117" i="6"/>
  <c r="E232" i="6"/>
  <c r="K232" i="6"/>
  <c r="P118" i="6"/>
  <c r="E233" i="6"/>
  <c r="K233" i="6"/>
  <c r="Q118" i="6"/>
  <c r="F232" i="6"/>
  <c r="L232" i="6"/>
  <c r="R118" i="6"/>
  <c r="F233" i="6"/>
  <c r="L233" i="6"/>
  <c r="S118" i="6"/>
  <c r="E234" i="6"/>
  <c r="K234" i="6"/>
  <c r="P119" i="6"/>
  <c r="E235" i="6"/>
  <c r="K235" i="6"/>
  <c r="Q119" i="6"/>
  <c r="F234" i="6"/>
  <c r="L234" i="6"/>
  <c r="R119" i="6"/>
  <c r="F235" i="6"/>
  <c r="L235" i="6"/>
  <c r="S119" i="6"/>
  <c r="E236" i="6"/>
  <c r="K236" i="6"/>
  <c r="P120" i="6"/>
  <c r="E237" i="6"/>
  <c r="K237" i="6"/>
  <c r="Q120" i="6"/>
  <c r="F236" i="6"/>
  <c r="L236" i="6"/>
  <c r="R120" i="6"/>
  <c r="F237" i="6"/>
  <c r="L237" i="6"/>
  <c r="S120" i="6"/>
  <c r="E238" i="6"/>
  <c r="K238" i="6"/>
  <c r="P121" i="6"/>
  <c r="E239" i="6"/>
  <c r="K239" i="6"/>
  <c r="Q121" i="6"/>
  <c r="F238" i="6"/>
  <c r="L238" i="6"/>
  <c r="R121" i="6"/>
  <c r="F239" i="6"/>
  <c r="L239" i="6"/>
  <c r="S121" i="6"/>
  <c r="E240" i="6"/>
  <c r="K240" i="6"/>
  <c r="P122" i="6"/>
  <c r="E241" i="6"/>
  <c r="K241" i="6"/>
  <c r="Q122" i="6"/>
  <c r="F240" i="6"/>
  <c r="L240" i="6"/>
  <c r="R122" i="6"/>
  <c r="F241" i="6"/>
  <c r="L241" i="6"/>
  <c r="S122" i="6"/>
  <c r="E242" i="6"/>
  <c r="K242" i="6"/>
  <c r="P123" i="6"/>
  <c r="E243" i="6"/>
  <c r="K243" i="6"/>
  <c r="Q123" i="6"/>
  <c r="F242" i="6"/>
  <c r="L242" i="6"/>
  <c r="R123" i="6"/>
  <c r="F243" i="6"/>
  <c r="L243" i="6"/>
  <c r="S123" i="6"/>
  <c r="E244" i="6"/>
  <c r="K244" i="6"/>
  <c r="P124" i="6"/>
  <c r="E245" i="6"/>
  <c r="K245" i="6"/>
  <c r="Q124" i="6"/>
  <c r="F244" i="6"/>
  <c r="L244" i="6"/>
  <c r="R124" i="6"/>
  <c r="F245" i="6"/>
  <c r="L245" i="6"/>
  <c r="S124" i="6"/>
  <c r="E246" i="6"/>
  <c r="K246" i="6"/>
  <c r="P125" i="6"/>
  <c r="E247" i="6"/>
  <c r="K247" i="6"/>
  <c r="Q125" i="6"/>
  <c r="F246" i="6"/>
  <c r="L246" i="6"/>
  <c r="R125" i="6"/>
  <c r="F247" i="6"/>
  <c r="L247" i="6"/>
  <c r="S125" i="6"/>
  <c r="E248" i="6"/>
  <c r="K248" i="6"/>
  <c r="P126" i="6"/>
  <c r="E249" i="6"/>
  <c r="K249" i="6"/>
  <c r="Q126" i="6"/>
  <c r="F248" i="6"/>
  <c r="L248" i="6"/>
  <c r="R126" i="6"/>
  <c r="F249" i="6"/>
  <c r="L249" i="6"/>
  <c r="S126" i="6"/>
  <c r="E250" i="6"/>
  <c r="K250" i="6"/>
  <c r="P127" i="6"/>
  <c r="E251" i="6"/>
  <c r="K251" i="6"/>
  <c r="Q127" i="6"/>
  <c r="F250" i="6"/>
  <c r="L250" i="6"/>
  <c r="R127" i="6"/>
  <c r="F251" i="6"/>
  <c r="L251" i="6"/>
  <c r="S127" i="6"/>
  <c r="E252" i="6"/>
  <c r="K252" i="6"/>
  <c r="P128" i="6"/>
  <c r="E253" i="6"/>
  <c r="K253" i="6"/>
  <c r="Q128" i="6"/>
  <c r="F252" i="6"/>
  <c r="L252" i="6"/>
  <c r="R128" i="6"/>
  <c r="F253" i="6"/>
  <c r="L253" i="6"/>
  <c r="S128" i="6"/>
  <c r="E254" i="6"/>
  <c r="K254" i="6"/>
  <c r="P129" i="6"/>
  <c r="E255" i="6"/>
  <c r="K255" i="6"/>
  <c r="Q129" i="6"/>
  <c r="F254" i="6"/>
  <c r="L254" i="6"/>
  <c r="R129" i="6"/>
  <c r="F255" i="6"/>
  <c r="L255" i="6"/>
  <c r="S129" i="6"/>
  <c r="E5" i="6"/>
  <c r="K5" i="6"/>
  <c r="Q4" i="6"/>
  <c r="F4" i="6"/>
  <c r="L4" i="6"/>
  <c r="R4" i="6"/>
  <c r="F5" i="6"/>
  <c r="L5" i="6"/>
  <c r="S4" i="6"/>
  <c r="E7" i="6"/>
  <c r="K7" i="6"/>
  <c r="Q5" i="6"/>
  <c r="F6" i="6"/>
  <c r="L6" i="6"/>
  <c r="R5" i="6"/>
  <c r="F7" i="6"/>
  <c r="L7" i="6"/>
  <c r="S5" i="6"/>
  <c r="E9" i="6"/>
  <c r="K9" i="6"/>
  <c r="Q6" i="6"/>
  <c r="F8" i="6"/>
  <c r="L8" i="6"/>
  <c r="R6" i="6"/>
  <c r="F9" i="6"/>
  <c r="L9" i="6"/>
  <c r="S6" i="6"/>
  <c r="E11" i="6"/>
  <c r="K11" i="6"/>
  <c r="Q7" i="6"/>
  <c r="F10" i="6"/>
  <c r="L10" i="6"/>
  <c r="R7" i="6"/>
  <c r="F11" i="6"/>
  <c r="L11" i="6"/>
  <c r="S7" i="6"/>
  <c r="E13" i="6"/>
  <c r="K13" i="6"/>
  <c r="Q8" i="6"/>
  <c r="F12" i="6"/>
  <c r="L12" i="6"/>
  <c r="R8" i="6"/>
  <c r="F13" i="6"/>
  <c r="L13" i="6"/>
  <c r="S8" i="6"/>
  <c r="E15" i="6"/>
  <c r="K15" i="6"/>
  <c r="Q9" i="6"/>
  <c r="F14" i="6"/>
  <c r="L14" i="6"/>
  <c r="R9" i="6"/>
  <c r="F15" i="6"/>
  <c r="L15" i="6"/>
  <c r="S9" i="6"/>
  <c r="E17" i="6"/>
  <c r="K17" i="6"/>
  <c r="Q10" i="6"/>
  <c r="F16" i="6"/>
  <c r="L16" i="6"/>
  <c r="R10" i="6"/>
  <c r="F17" i="6"/>
  <c r="L17" i="6"/>
  <c r="S10" i="6"/>
  <c r="E19" i="6"/>
  <c r="K19" i="6"/>
  <c r="Q11" i="6"/>
  <c r="F18" i="6"/>
  <c r="L18" i="6"/>
  <c r="R11" i="6"/>
  <c r="F19" i="6"/>
  <c r="L19" i="6"/>
  <c r="S11" i="6"/>
  <c r="F2" i="6"/>
  <c r="L2" i="6"/>
  <c r="R3" i="6"/>
  <c r="E3" i="6"/>
  <c r="K3" i="6"/>
  <c r="Q3" i="6"/>
  <c r="F3" i="6"/>
  <c r="L3" i="6"/>
  <c r="S3" i="6"/>
  <c r="E2" i="6"/>
  <c r="K2" i="6"/>
  <c r="P3" i="6"/>
  <c r="E18" i="6"/>
  <c r="K18" i="6"/>
  <c r="P11" i="6"/>
  <c r="E16" i="6"/>
  <c r="K16" i="6"/>
  <c r="P10" i="6"/>
  <c r="E14" i="6"/>
  <c r="K14" i="6"/>
  <c r="P9" i="6"/>
  <c r="E6" i="6"/>
  <c r="K6" i="6"/>
  <c r="P5" i="6"/>
  <c r="E4" i="6"/>
  <c r="K4" i="6"/>
  <c r="P4" i="6"/>
  <c r="E8" i="6"/>
  <c r="K8" i="6"/>
  <c r="P6" i="6"/>
  <c r="E10" i="6"/>
  <c r="K10" i="6"/>
  <c r="P7" i="6"/>
  <c r="E12" i="6"/>
  <c r="K12" i="6"/>
  <c r="P8" i="6"/>
  <c r="C1" i="6"/>
  <c r="D1" i="6"/>
  <c r="B2" i="5"/>
  <c r="C2" i="5"/>
  <c r="D2" i="5"/>
  <c r="I13" i="2"/>
  <c r="I17" i="2"/>
  <c r="E2" i="5"/>
  <c r="B3" i="5"/>
  <c r="C3" i="5"/>
  <c r="D3" i="5"/>
  <c r="I18" i="2"/>
  <c r="E3" i="5"/>
  <c r="B4" i="5"/>
  <c r="C4" i="5"/>
  <c r="D4" i="5"/>
  <c r="I19" i="2"/>
  <c r="E4" i="5"/>
  <c r="B5" i="5"/>
  <c r="C5" i="5"/>
  <c r="D5" i="5"/>
  <c r="I20" i="2"/>
  <c r="E5" i="5"/>
  <c r="B6" i="5"/>
  <c r="C6" i="5"/>
  <c r="D6" i="5"/>
  <c r="I21" i="2"/>
  <c r="E6" i="5"/>
  <c r="B7" i="5"/>
  <c r="C7" i="5"/>
  <c r="D7" i="5"/>
  <c r="I22" i="2"/>
  <c r="E7" i="5"/>
  <c r="B8" i="5"/>
  <c r="C8" i="5"/>
  <c r="D8" i="5"/>
  <c r="I23" i="2"/>
  <c r="E8" i="5"/>
  <c r="B9" i="5"/>
  <c r="C9" i="5"/>
  <c r="D9" i="5"/>
  <c r="I24" i="2"/>
  <c r="E9" i="5"/>
  <c r="B10" i="5"/>
  <c r="C10" i="5"/>
  <c r="D10" i="5"/>
  <c r="I25" i="2"/>
  <c r="E10" i="5"/>
  <c r="B11" i="5"/>
  <c r="C11" i="5"/>
  <c r="D11" i="5"/>
  <c r="I26" i="2"/>
  <c r="E11" i="5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</calcChain>
</file>

<file path=xl/sharedStrings.xml><?xml version="1.0" encoding="utf-8"?>
<sst xmlns="http://schemas.openxmlformats.org/spreadsheetml/2006/main" count="3513" uniqueCount="349">
  <si>
    <t>name</t>
  </si>
  <si>
    <t>all</t>
  </si>
  <si>
    <t>PARS_transcripts</t>
  </si>
  <si>
    <t>PARS_mRNA</t>
  </si>
  <si>
    <t>PARS_mRNA_non_complex</t>
  </si>
  <si>
    <t>SNPs</t>
  </si>
  <si>
    <t>gene</t>
  </si>
  <si>
    <t>gene</t>
    <phoneticPr fontId="1" type="noConversion"/>
  </si>
  <si>
    <t>0-10%</t>
  </si>
  <si>
    <t>10-20%</t>
  </si>
  <si>
    <t>20-30%</t>
  </si>
  <si>
    <t>30-40%</t>
  </si>
  <si>
    <t>40-50%</t>
  </si>
  <si>
    <t>50-60%</t>
  </si>
  <si>
    <t>60-70%</t>
  </si>
  <si>
    <t>70-80%</t>
  </si>
  <si>
    <t>80-90%</t>
  </si>
  <si>
    <t>90-100%</t>
  </si>
  <si>
    <t>stem_SNPs</t>
    <phoneticPr fontId="1" type="noConversion"/>
  </si>
  <si>
    <t>structure</t>
  </si>
  <si>
    <t>p-value</t>
  </si>
  <si>
    <t>stem</t>
  </si>
  <si>
    <t>loop</t>
  </si>
  <si>
    <t>freq</t>
    <phoneticPr fontId="1" type="noConversion"/>
  </si>
  <si>
    <t>stem_AT-GC_SNPs</t>
    <phoneticPr fontId="1" type="noConversion"/>
  </si>
  <si>
    <t>loop_AT-GC_SNPs</t>
    <phoneticPr fontId="1" type="noConversion"/>
  </si>
  <si>
    <t>GC-AT</t>
    <phoneticPr fontId="1" type="noConversion"/>
  </si>
  <si>
    <t>AT-GC</t>
    <phoneticPr fontId="1" type="noConversion"/>
  </si>
  <si>
    <t>AT-GC_ratio</t>
    <phoneticPr fontId="1" type="noConversion"/>
  </si>
  <si>
    <t>loop_SNPs</t>
    <phoneticPr fontId="1" type="noConversion"/>
  </si>
  <si>
    <t>freq</t>
    <phoneticPr fontId="1" type="noConversion"/>
  </si>
  <si>
    <t>stem_GC-AT_SNPs</t>
    <phoneticPr fontId="1" type="noConversion"/>
  </si>
  <si>
    <t>loop_GC-AT_SNPs</t>
    <phoneticPr fontId="1" type="noConversion"/>
  </si>
  <si>
    <t>intergenic</t>
  </si>
  <si>
    <t>X2</t>
    <phoneticPr fontId="1" type="noConversion"/>
  </si>
  <si>
    <t>loop_SNPs</t>
    <phoneticPr fontId="1" type="noConversion"/>
  </si>
  <si>
    <t>stem_AT-GC_SNPs</t>
    <phoneticPr fontId="1" type="noConversion"/>
  </si>
  <si>
    <t>GC-AT ratio</t>
    <phoneticPr fontId="1" type="noConversion"/>
  </si>
  <si>
    <t>10-20%</t>
    <phoneticPr fontId="1" type="noConversion"/>
  </si>
  <si>
    <t>neutral</t>
    <phoneticPr fontId="1" type="noConversion"/>
  </si>
  <si>
    <t>stem G/C→A/T</t>
    <phoneticPr fontId="1" type="noConversion"/>
  </si>
  <si>
    <t>loop A/T→G/C</t>
    <phoneticPr fontId="1" type="noConversion"/>
  </si>
  <si>
    <t>stem A/T→G/C</t>
    <phoneticPr fontId="1" type="noConversion"/>
  </si>
  <si>
    <t>loop G/C→A/T</t>
    <phoneticPr fontId="1" type="noConversion"/>
  </si>
  <si>
    <t>AT_GC_ratio</t>
    <phoneticPr fontId="1" type="noConversion"/>
  </si>
  <si>
    <t>GC_AT_ratio</t>
    <phoneticPr fontId="1" type="noConversion"/>
  </si>
  <si>
    <t>AT_GC_ratio</t>
  </si>
  <si>
    <t>stem</t>
    <phoneticPr fontId="1" type="noConversion"/>
  </si>
  <si>
    <t>cds</t>
    <phoneticPr fontId="1" type="noConversion"/>
  </si>
  <si>
    <t>syn</t>
    <phoneticPr fontId="1" type="noConversion"/>
  </si>
  <si>
    <t>utr</t>
    <phoneticPr fontId="1" type="noConversion"/>
  </si>
  <si>
    <t>nsy</t>
    <phoneticPr fontId="1" type="noConversion"/>
  </si>
  <si>
    <t>0-10%</t>
    <phoneticPr fontId="1" type="noConversion"/>
  </si>
  <si>
    <t>20-30%</t>
    <phoneticPr fontId="1" type="noConversion"/>
  </si>
  <si>
    <t>30-40%</t>
    <phoneticPr fontId="1" type="noConversion"/>
  </si>
  <si>
    <t>40-50%</t>
    <phoneticPr fontId="1" type="noConversion"/>
  </si>
  <si>
    <t>50-60%</t>
    <phoneticPr fontId="1" type="noConversion"/>
  </si>
  <si>
    <t>60-70%</t>
    <phoneticPr fontId="1" type="noConversion"/>
  </si>
  <si>
    <t>70-80%</t>
    <phoneticPr fontId="1" type="noConversion"/>
  </si>
  <si>
    <t>80-90%</t>
    <phoneticPr fontId="1" type="noConversion"/>
  </si>
  <si>
    <t>90-100%</t>
    <phoneticPr fontId="1" type="noConversion"/>
  </si>
  <si>
    <t>sum</t>
    <phoneticPr fontId="1" type="noConversion"/>
  </si>
  <si>
    <t>freq</t>
    <phoneticPr fontId="1" type="noConversion"/>
  </si>
  <si>
    <t>utr</t>
    <phoneticPr fontId="1" type="noConversion"/>
  </si>
  <si>
    <t>syn</t>
    <phoneticPr fontId="1" type="noConversion"/>
  </si>
  <si>
    <t>nsy</t>
    <phoneticPr fontId="1" type="noConversion"/>
  </si>
  <si>
    <t>cds</t>
    <phoneticPr fontId="1" type="noConversion"/>
  </si>
  <si>
    <t>PARS_cds</t>
  </si>
  <si>
    <t>PARS_utr</t>
  </si>
  <si>
    <t>PARS_syn</t>
  </si>
  <si>
    <t>PARS_nsy</t>
  </si>
  <si>
    <t>GC_AT_ratio</t>
    <phoneticPr fontId="1" type="noConversion"/>
  </si>
  <si>
    <t>stem</t>
    <phoneticPr fontId="1" type="noConversion"/>
  </si>
  <si>
    <t>loop</t>
    <phoneticPr fontId="1" type="noConversion"/>
  </si>
  <si>
    <t>stem</t>
    <phoneticPr fontId="1" type="noConversion"/>
  </si>
  <si>
    <t>loop</t>
    <phoneticPr fontId="1" type="noConversion"/>
  </si>
  <si>
    <t>AT→GC ratio</t>
    <phoneticPr fontId="1" type="noConversion"/>
  </si>
  <si>
    <t>GC→AT ratio</t>
    <phoneticPr fontId="1" type="noConversion"/>
  </si>
  <si>
    <t>γ</t>
    <phoneticPr fontId="1" type="noConversion"/>
  </si>
  <si>
    <t>cds_2</t>
  </si>
  <si>
    <t>cds_3</t>
  </si>
  <si>
    <t>cds_4</t>
  </si>
  <si>
    <t>cds_5</t>
  </si>
  <si>
    <t>cds_6</t>
  </si>
  <si>
    <t>cds_7</t>
  </si>
  <si>
    <t>cds_8</t>
  </si>
  <si>
    <t>cds_9</t>
  </si>
  <si>
    <t>cds_10</t>
  </si>
  <si>
    <t>cds_11</t>
  </si>
  <si>
    <t>cds_12</t>
  </si>
  <si>
    <t>cds_13</t>
  </si>
  <si>
    <t>cds_14</t>
  </si>
  <si>
    <t>cds_15</t>
  </si>
  <si>
    <t>nucleoplasm</t>
  </si>
  <si>
    <t>fungal_type_vacuole_membrane</t>
  </si>
  <si>
    <t>GO:0005783</t>
  </si>
  <si>
    <t>GO:0005789</t>
  </si>
  <si>
    <t>GO:0016021</t>
  </si>
  <si>
    <t>GO:0016020</t>
  </si>
  <si>
    <t>GO:0005739</t>
  </si>
  <si>
    <t>GO:0010494</t>
  </si>
  <si>
    <t>GO:0005741</t>
  </si>
  <si>
    <t>GO:0005737</t>
  </si>
  <si>
    <t>GO:0005743</t>
  </si>
  <si>
    <t>GO:0030176</t>
  </si>
  <si>
    <t>GO:0000139</t>
  </si>
  <si>
    <t>GO:0000329</t>
  </si>
  <si>
    <t>GO:0000502</t>
  </si>
  <si>
    <t>GO:0005794</t>
  </si>
  <si>
    <t>GO:0005654</t>
  </si>
  <si>
    <t>GO:0005758</t>
  </si>
  <si>
    <t>endoplasmic_reticulum</t>
  </si>
  <si>
    <t>endoplasmic_reticulum_membrane</t>
  </si>
  <si>
    <t>integral_component_of_membrane</t>
  </si>
  <si>
    <t>membrane</t>
  </si>
  <si>
    <t>mitochondrion</t>
  </si>
  <si>
    <t>cytoplasmic_stress_granule</t>
  </si>
  <si>
    <t>mitochondrial_outer_membrane</t>
  </si>
  <si>
    <t>cytoplasm</t>
  </si>
  <si>
    <t>mitochondrial_inner_membrane</t>
  </si>
  <si>
    <t>Golgi_membrane</t>
  </si>
  <si>
    <t>proteasome_complex</t>
  </si>
  <si>
    <t>Golgi_apparatus</t>
  </si>
  <si>
    <t>stem_AT-GC_SNPs</t>
    <phoneticPr fontId="1" type="noConversion"/>
  </si>
  <si>
    <t>CC_1</t>
    <phoneticPr fontId="1" type="noConversion"/>
  </si>
  <si>
    <t>CC_2</t>
  </si>
  <si>
    <t>CC_3</t>
  </si>
  <si>
    <t>CC_4</t>
  </si>
  <si>
    <t>CC_5</t>
  </si>
  <si>
    <t>CC_6</t>
  </si>
  <si>
    <t>CC_7</t>
  </si>
  <si>
    <t>CC_8</t>
  </si>
  <si>
    <t>CC_9</t>
  </si>
  <si>
    <t>CC_10</t>
  </si>
  <si>
    <t>CC_11</t>
  </si>
  <si>
    <t>CC_12</t>
  </si>
  <si>
    <t>CC_13</t>
  </si>
  <si>
    <t>CC_14</t>
  </si>
  <si>
    <t>CC_15</t>
  </si>
  <si>
    <t>CC_16</t>
  </si>
  <si>
    <t>BP_1</t>
    <phoneticPr fontId="1" type="noConversion"/>
  </si>
  <si>
    <t>BP_2</t>
  </si>
  <si>
    <t>BP_3</t>
  </si>
  <si>
    <t>BP_4</t>
  </si>
  <si>
    <t>BP_5</t>
  </si>
  <si>
    <t>BP_6</t>
  </si>
  <si>
    <t>BP_7</t>
  </si>
  <si>
    <t>BP_8</t>
  </si>
  <si>
    <t>BP_9</t>
  </si>
  <si>
    <t>BP_10</t>
  </si>
  <si>
    <t>BP_11</t>
  </si>
  <si>
    <t>BP_12</t>
  </si>
  <si>
    <t>BP_13</t>
  </si>
  <si>
    <t>BP_14</t>
  </si>
  <si>
    <t>BP_15</t>
  </si>
  <si>
    <t>BP_16</t>
  </si>
  <si>
    <t>GO:0055114</t>
  </si>
  <si>
    <t>GO:0006810</t>
  </si>
  <si>
    <t>GO:0016126</t>
  </si>
  <si>
    <t>GO:0006696</t>
  </si>
  <si>
    <t>GO:0006626</t>
  </si>
  <si>
    <t>GO:0006694</t>
  </si>
  <si>
    <t>GO:0006606</t>
  </si>
  <si>
    <t>GO:0008202</t>
  </si>
  <si>
    <t>GO:0030150</t>
  </si>
  <si>
    <t>GO:0030433</t>
  </si>
  <si>
    <t>GO:0006457</t>
  </si>
  <si>
    <t>GO:0006486</t>
  </si>
  <si>
    <t>GO:0006487</t>
  </si>
  <si>
    <t>GO:0006629</t>
  </si>
  <si>
    <t>GO:0042254</t>
  </si>
  <si>
    <t>GO:0009058</t>
  </si>
  <si>
    <t>oxidation_reduction_process</t>
  </si>
  <si>
    <t>transport</t>
  </si>
  <si>
    <t>sterol_biosynthetic_process</t>
  </si>
  <si>
    <t>protein_targeting_to_mitochondrion</t>
  </si>
  <si>
    <t>steroid_biosynthetic_process</t>
  </si>
  <si>
    <t>protein_import_into_nucleus</t>
  </si>
  <si>
    <t>steroid_metabolic_process</t>
  </si>
  <si>
    <t>protein_import_into_mitochondrial_matrix</t>
  </si>
  <si>
    <t>ER_associated_ubiquitin_dependent_protein_catabolic_process</t>
  </si>
  <si>
    <t>protein_folding</t>
  </si>
  <si>
    <t>protein_glycosylation</t>
  </si>
  <si>
    <t>protein_N_linked_glycosylation</t>
  </si>
  <si>
    <t>lipid_metabolic_process</t>
  </si>
  <si>
    <t>ribosome_biogenesis</t>
  </si>
  <si>
    <t>biosynthetic_process</t>
  </si>
  <si>
    <t>GO:0016491</t>
  </si>
  <si>
    <t>GO:0003899</t>
  </si>
  <si>
    <t>GO:0016757</t>
  </si>
  <si>
    <t>GO:0003824</t>
  </si>
  <si>
    <t>GO:0016740</t>
  </si>
  <si>
    <t>GO:0016853</t>
  </si>
  <si>
    <t>GO:0015266</t>
  </si>
  <si>
    <t>GO:0001056</t>
  </si>
  <si>
    <t>GO:0008237</t>
  </si>
  <si>
    <t>GO:0070273</t>
  </si>
  <si>
    <t>GO:0003729</t>
  </si>
  <si>
    <t>GO:0000287</t>
  </si>
  <si>
    <t>GO:0030170</t>
  </si>
  <si>
    <t>GO:0017056</t>
  </si>
  <si>
    <t>GO:0051082</t>
  </si>
  <si>
    <t>GO:0005525</t>
  </si>
  <si>
    <t>oxidoreductase_activity</t>
  </si>
  <si>
    <t>DNA-directed_RNA_polymerase_activity</t>
  </si>
  <si>
    <t>transferase_activity_transferring_glycosyl_groups</t>
  </si>
  <si>
    <t>catalytic_activity</t>
  </si>
  <si>
    <t>transferase_activity</t>
  </si>
  <si>
    <t>isomerase_activity</t>
  </si>
  <si>
    <t>protein_channel_activity</t>
  </si>
  <si>
    <t>RNA_polymerase_III_activity</t>
  </si>
  <si>
    <t>metallopeptidase_activity</t>
  </si>
  <si>
    <t>phosphatidylinositol-4-phosphate_binding</t>
  </si>
  <si>
    <t>mRNA_binding</t>
  </si>
  <si>
    <t>magnesium_ion_binding</t>
  </si>
  <si>
    <t>pyridoxal_phosphate_binding</t>
  </si>
  <si>
    <t>structural_constituent_of_nuclear_pore</t>
  </si>
  <si>
    <t>unfolded_protein_binding</t>
  </si>
  <si>
    <t>GTP_binding</t>
  </si>
  <si>
    <t>MF_1</t>
    <phoneticPr fontId="1" type="noConversion"/>
  </si>
  <si>
    <t>MF_2</t>
  </si>
  <si>
    <t>MF_3</t>
  </si>
  <si>
    <t>MF_4</t>
  </si>
  <si>
    <t>MF_5</t>
  </si>
  <si>
    <t>MF_6</t>
  </si>
  <si>
    <t>MF_7</t>
  </si>
  <si>
    <t>MF_8</t>
  </si>
  <si>
    <t>MF_9</t>
  </si>
  <si>
    <t>MF_10</t>
  </si>
  <si>
    <t>MF_11</t>
  </si>
  <si>
    <t>MF_12</t>
  </si>
  <si>
    <t>MF_13</t>
  </si>
  <si>
    <t>MF_14</t>
  </si>
  <si>
    <t>MF_15</t>
  </si>
  <si>
    <t>MF_16</t>
  </si>
  <si>
    <t>γ</t>
    <phoneticPr fontId="1" type="noConversion"/>
  </si>
  <si>
    <t>gene</t>
    <phoneticPr fontId="1" type="noConversion"/>
  </si>
  <si>
    <t>gene</t>
    <phoneticPr fontId="1" type="noConversion"/>
  </si>
  <si>
    <t>ergosterol_biosynthetic_process</t>
    <phoneticPr fontId="1" type="noConversion"/>
  </si>
  <si>
    <t>integral_component_of_endoplasmic_reticulum_membrane</t>
    <phoneticPr fontId="1" type="noConversion"/>
  </si>
  <si>
    <t>mitochondrial_intermembrane_space</t>
    <phoneticPr fontId="1" type="noConversion"/>
  </si>
  <si>
    <t>KEGG_1</t>
    <phoneticPr fontId="1" type="noConversion"/>
  </si>
  <si>
    <t>Metabolic_pathways</t>
  </si>
  <si>
    <t>Biosynthesis_of_antibiotics</t>
  </si>
  <si>
    <t>Biosynthesis_of_secondary_metabolites</t>
  </si>
  <si>
    <t>Purine_metabolism</t>
  </si>
  <si>
    <t>Pyrimidine_metabolism</t>
  </si>
  <si>
    <t>Biosynthesis_of_amino_acids</t>
  </si>
  <si>
    <t>Carbon_metabolism</t>
  </si>
  <si>
    <t>RNA_polymerase</t>
  </si>
  <si>
    <t>Glycine_serine_and_threonine_metabolism</t>
  </si>
  <si>
    <t>Oxidative_phosphorylation</t>
  </si>
  <si>
    <t>Proteasome</t>
  </si>
  <si>
    <t>N_Glycan_biosynthesis</t>
  </si>
  <si>
    <t>Steroid_biosynthesis</t>
  </si>
  <si>
    <t>Terpenoid_backbone_biosynthesis</t>
  </si>
  <si>
    <t>Protein_processing_in_endoplasmic_reticulum</t>
  </si>
  <si>
    <t>Various_types_of_N_glycan_biosynthesis</t>
  </si>
  <si>
    <t>Arginine_and_proline_metabolism</t>
  </si>
  <si>
    <t>RNA_transport</t>
  </si>
  <si>
    <t>Cysteine_and_methionine_metabolism</t>
  </si>
  <si>
    <t>Citrate_cycle_TCA_cycle</t>
  </si>
  <si>
    <t>2_Oxocarboxylic_acid_metabolism</t>
  </si>
  <si>
    <t>Glycolysis_Gluconeogenesis</t>
  </si>
  <si>
    <t>Methane_metabolism</t>
  </si>
  <si>
    <t>Pyruvate_metabolism</t>
  </si>
  <si>
    <t>Protein_export</t>
  </si>
  <si>
    <t>Sphingolipid_metabolism</t>
  </si>
  <si>
    <t>Ribosome_biogenesis_in_eukaryotes</t>
  </si>
  <si>
    <t>Glycosylphosphatidylinositol_GPI_anchor_biosynthesis</t>
  </si>
  <si>
    <t>Alanine_aspartate_and_glutamate_metabolism</t>
  </si>
  <si>
    <t>Phenylalanine_tyrosine_and_tryptophan_biosynthesis</t>
  </si>
  <si>
    <t>DNA_replication</t>
  </si>
  <si>
    <t>sce01100</t>
  </si>
  <si>
    <t>sce01130</t>
  </si>
  <si>
    <t>sce01110</t>
  </si>
  <si>
    <t>sce00230</t>
  </si>
  <si>
    <t>sce00240</t>
  </si>
  <si>
    <t>sce01230</t>
  </si>
  <si>
    <t>sce01200</t>
  </si>
  <si>
    <t>sce03020</t>
  </si>
  <si>
    <t>sce00260</t>
  </si>
  <si>
    <t>sce00190</t>
  </si>
  <si>
    <t>sce03050</t>
  </si>
  <si>
    <t>sce00510</t>
  </si>
  <si>
    <t>sce00100</t>
  </si>
  <si>
    <t>sce00900</t>
  </si>
  <si>
    <t>sce04141</t>
  </si>
  <si>
    <t>sce00513</t>
  </si>
  <si>
    <t>sce00860</t>
  </si>
  <si>
    <t>sce00330</t>
  </si>
  <si>
    <t>sce03013</t>
  </si>
  <si>
    <t>sce00270</t>
  </si>
  <si>
    <t>sce00020</t>
  </si>
  <si>
    <t>sce01210</t>
  </si>
  <si>
    <t>sce00010</t>
  </si>
  <si>
    <t>sce00680</t>
  </si>
  <si>
    <t>sce00620</t>
  </si>
  <si>
    <t>sce03060</t>
  </si>
  <si>
    <t>sce00600</t>
  </si>
  <si>
    <t>sce03008</t>
  </si>
  <si>
    <t>sce00563</t>
  </si>
  <si>
    <t>sce00250</t>
  </si>
  <si>
    <t>sce00400</t>
  </si>
  <si>
    <t>sce03030</t>
  </si>
  <si>
    <t>KEGG_2</t>
  </si>
  <si>
    <t>KEGG_3</t>
  </si>
  <si>
    <t>KEGG_4</t>
  </si>
  <si>
    <t>KEGG_5</t>
  </si>
  <si>
    <t>KEGG_6</t>
  </si>
  <si>
    <t>KEGG_7</t>
  </si>
  <si>
    <t>KEGG_8</t>
  </si>
  <si>
    <t>KEGG_9</t>
  </si>
  <si>
    <t>KEGG_10</t>
  </si>
  <si>
    <t>KEGG_11</t>
  </si>
  <si>
    <t>KEGG_12</t>
  </si>
  <si>
    <t>KEGG_13</t>
  </si>
  <si>
    <t>KEGG_14</t>
  </si>
  <si>
    <t>KEGG_15</t>
  </si>
  <si>
    <t>KEGG_16</t>
  </si>
  <si>
    <t>KEGG_17</t>
  </si>
  <si>
    <t>KEGG_18</t>
  </si>
  <si>
    <t>KEGG_19</t>
  </si>
  <si>
    <t>KEGG_20</t>
  </si>
  <si>
    <t>KEGG_21</t>
  </si>
  <si>
    <t>KEGG_22</t>
  </si>
  <si>
    <t>KEGG_23</t>
  </si>
  <si>
    <t>KEGG_24</t>
  </si>
  <si>
    <t>KEGG_25</t>
  </si>
  <si>
    <t>KEGG_26</t>
  </si>
  <si>
    <t>KEGG_27</t>
  </si>
  <si>
    <t>KEGG_28</t>
  </si>
  <si>
    <t>KEGG_29</t>
  </si>
  <si>
    <t>KEGG_30</t>
  </si>
  <si>
    <t>KEGG_31</t>
  </si>
  <si>
    <t>KEGG_32</t>
  </si>
  <si>
    <t>TCA</t>
    <phoneticPr fontId="1" type="noConversion"/>
  </si>
  <si>
    <t xml:space="preserve"> </t>
    <phoneticPr fontId="1" type="noConversion"/>
  </si>
  <si>
    <t>Porphyrin_and_chlorophyll_metabolism</t>
    <phoneticPr fontId="1" type="noConversion"/>
  </si>
  <si>
    <t>utr</t>
    <phoneticPr fontId="1" type="noConversion"/>
  </si>
  <si>
    <t>syn</t>
    <phoneticPr fontId="1" type="noConversion"/>
  </si>
  <si>
    <t>nsy</t>
    <phoneticPr fontId="1" type="noConversion"/>
  </si>
  <si>
    <t>sum</t>
    <phoneticPr fontId="1" type="noConversion"/>
  </si>
  <si>
    <t>4D</t>
    <phoneticPr fontId="1" type="noConversion"/>
  </si>
  <si>
    <t>4D</t>
    <phoneticPr fontId="1" type="noConversion"/>
  </si>
  <si>
    <t>tRNA</t>
    <phoneticPr fontId="1" type="noConversion"/>
  </si>
  <si>
    <t>cds_1</t>
  </si>
  <si>
    <t>γ</t>
    <phoneticPr fontId="1" type="noConversion"/>
  </si>
  <si>
    <t>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</si>
</sst>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_);[Red]\(0.00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2"/>
        <bgColor indexed="64"/>
      </patternFill>
    </fill>
  </fills>
  <borders count="1">
    <border>
      <left/>
      <right/>
      <top/>
      <bottom/>
      <diagonal/>
    </border>
  </borders>
  <cellStyleXfs count="8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83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</cellStyles>
  <dxfs count="0"/>
  <tableStyles count="0" defaultTableStyle="TableStyleMedium9" defaultPivotStyle="PivotStyleMedium7"/>
  <colors>
    <mruColors>
      <color rgb="FF424242"/>
      <color rgb="FFFFC002"/>
      <color rgb="FFFF2F92"/>
      <color rgb="FF997300"/>
      <color rgb="FF5B9BD5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42" Type="http://schemas.openxmlformats.org/officeDocument/2006/relationships/externalLink" Target="externalLinks/externalLink130.xml"/><Relationship Id="rId143" Type="http://schemas.openxmlformats.org/officeDocument/2006/relationships/externalLink" Target="externalLinks/externalLink131.xml"/><Relationship Id="rId144" Type="http://schemas.openxmlformats.org/officeDocument/2006/relationships/externalLink" Target="externalLinks/externalLink132.xml"/><Relationship Id="rId145" Type="http://schemas.openxmlformats.org/officeDocument/2006/relationships/externalLink" Target="externalLinks/externalLink133.xml"/><Relationship Id="rId146" Type="http://schemas.openxmlformats.org/officeDocument/2006/relationships/externalLink" Target="externalLinks/externalLink134.xml"/><Relationship Id="rId147" Type="http://schemas.openxmlformats.org/officeDocument/2006/relationships/externalLink" Target="externalLinks/externalLink135.xml"/><Relationship Id="rId148" Type="http://schemas.openxmlformats.org/officeDocument/2006/relationships/externalLink" Target="externalLinks/externalLink136.xml"/><Relationship Id="rId149" Type="http://schemas.openxmlformats.org/officeDocument/2006/relationships/externalLink" Target="externalLinks/externalLink137.xml"/><Relationship Id="rId180" Type="http://schemas.openxmlformats.org/officeDocument/2006/relationships/externalLink" Target="externalLinks/externalLink168.xml"/><Relationship Id="rId181" Type="http://schemas.openxmlformats.org/officeDocument/2006/relationships/externalLink" Target="externalLinks/externalLink169.xml"/><Relationship Id="rId182" Type="http://schemas.openxmlformats.org/officeDocument/2006/relationships/externalLink" Target="externalLinks/externalLink170.xml"/><Relationship Id="rId40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1.xml"/><Relationship Id="rId44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36.xml"/><Relationship Id="rId49" Type="http://schemas.openxmlformats.org/officeDocument/2006/relationships/externalLink" Target="externalLinks/externalLink37.xml"/><Relationship Id="rId183" Type="http://schemas.openxmlformats.org/officeDocument/2006/relationships/externalLink" Target="externalLinks/externalLink171.xml"/><Relationship Id="rId184" Type="http://schemas.openxmlformats.org/officeDocument/2006/relationships/externalLink" Target="externalLinks/externalLink172.xml"/><Relationship Id="rId185" Type="http://schemas.openxmlformats.org/officeDocument/2006/relationships/externalLink" Target="externalLinks/externalLink173.xml"/><Relationship Id="rId186" Type="http://schemas.openxmlformats.org/officeDocument/2006/relationships/externalLink" Target="externalLinks/externalLink174.xml"/><Relationship Id="rId187" Type="http://schemas.openxmlformats.org/officeDocument/2006/relationships/externalLink" Target="externalLinks/externalLink175.xml"/><Relationship Id="rId188" Type="http://schemas.openxmlformats.org/officeDocument/2006/relationships/externalLink" Target="externalLinks/externalLink176.xml"/><Relationship Id="rId189" Type="http://schemas.openxmlformats.org/officeDocument/2006/relationships/externalLink" Target="externalLinks/externalLink177.xml"/><Relationship Id="rId220" Type="http://schemas.openxmlformats.org/officeDocument/2006/relationships/externalLink" Target="externalLinks/externalLink208.xml"/><Relationship Id="rId221" Type="http://schemas.openxmlformats.org/officeDocument/2006/relationships/externalLink" Target="externalLinks/externalLink209.xml"/><Relationship Id="rId222" Type="http://schemas.openxmlformats.org/officeDocument/2006/relationships/externalLink" Target="externalLinks/externalLink210.xml"/><Relationship Id="rId223" Type="http://schemas.openxmlformats.org/officeDocument/2006/relationships/externalLink" Target="externalLinks/externalLink211.xml"/><Relationship Id="rId80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69.xml"/><Relationship Id="rId82" Type="http://schemas.openxmlformats.org/officeDocument/2006/relationships/externalLink" Target="externalLinks/externalLink70.xml"/><Relationship Id="rId83" Type="http://schemas.openxmlformats.org/officeDocument/2006/relationships/externalLink" Target="externalLinks/externalLink71.xml"/><Relationship Id="rId84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4.xml"/><Relationship Id="rId87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77.xml"/><Relationship Id="rId224" Type="http://schemas.openxmlformats.org/officeDocument/2006/relationships/externalLink" Target="externalLinks/externalLink212.xml"/><Relationship Id="rId225" Type="http://schemas.openxmlformats.org/officeDocument/2006/relationships/theme" Target="theme/theme1.xml"/><Relationship Id="rId226" Type="http://schemas.openxmlformats.org/officeDocument/2006/relationships/styles" Target="styles.xml"/><Relationship Id="rId227" Type="http://schemas.openxmlformats.org/officeDocument/2006/relationships/sharedStrings" Target="sharedStrings.xml"/><Relationship Id="rId228" Type="http://schemas.openxmlformats.org/officeDocument/2006/relationships/calcChain" Target="calcChain.xml"/><Relationship Id="rId110" Type="http://schemas.openxmlformats.org/officeDocument/2006/relationships/externalLink" Target="externalLinks/externalLink98.xml"/><Relationship Id="rId111" Type="http://schemas.openxmlformats.org/officeDocument/2006/relationships/externalLink" Target="externalLinks/externalLink99.xml"/><Relationship Id="rId112" Type="http://schemas.openxmlformats.org/officeDocument/2006/relationships/externalLink" Target="externalLinks/externalLink100.xml"/><Relationship Id="rId113" Type="http://schemas.openxmlformats.org/officeDocument/2006/relationships/externalLink" Target="externalLinks/externalLink101.xml"/><Relationship Id="rId114" Type="http://schemas.openxmlformats.org/officeDocument/2006/relationships/externalLink" Target="externalLinks/externalLink102.xml"/><Relationship Id="rId115" Type="http://schemas.openxmlformats.org/officeDocument/2006/relationships/externalLink" Target="externalLinks/externalLink103.xml"/><Relationship Id="rId116" Type="http://schemas.openxmlformats.org/officeDocument/2006/relationships/externalLink" Target="externalLinks/externalLink104.xml"/><Relationship Id="rId117" Type="http://schemas.openxmlformats.org/officeDocument/2006/relationships/externalLink" Target="externalLinks/externalLink105.xml"/><Relationship Id="rId118" Type="http://schemas.openxmlformats.org/officeDocument/2006/relationships/externalLink" Target="externalLinks/externalLink106.xml"/><Relationship Id="rId119" Type="http://schemas.openxmlformats.org/officeDocument/2006/relationships/externalLink" Target="externalLinks/externalLink107.xml"/><Relationship Id="rId150" Type="http://schemas.openxmlformats.org/officeDocument/2006/relationships/externalLink" Target="externalLinks/externalLink138.xml"/><Relationship Id="rId151" Type="http://schemas.openxmlformats.org/officeDocument/2006/relationships/externalLink" Target="externalLinks/externalLink139.xml"/><Relationship Id="rId152" Type="http://schemas.openxmlformats.org/officeDocument/2006/relationships/externalLink" Target="externalLinks/externalLink140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externalLink" Target="externalLinks/externalLink7.xml"/><Relationship Id="rId153" Type="http://schemas.openxmlformats.org/officeDocument/2006/relationships/externalLink" Target="externalLinks/externalLink141.xml"/><Relationship Id="rId154" Type="http://schemas.openxmlformats.org/officeDocument/2006/relationships/externalLink" Target="externalLinks/externalLink142.xml"/><Relationship Id="rId155" Type="http://schemas.openxmlformats.org/officeDocument/2006/relationships/externalLink" Target="externalLinks/externalLink143.xml"/><Relationship Id="rId156" Type="http://schemas.openxmlformats.org/officeDocument/2006/relationships/externalLink" Target="externalLinks/externalLink144.xml"/><Relationship Id="rId157" Type="http://schemas.openxmlformats.org/officeDocument/2006/relationships/externalLink" Target="externalLinks/externalLink145.xml"/><Relationship Id="rId158" Type="http://schemas.openxmlformats.org/officeDocument/2006/relationships/externalLink" Target="externalLinks/externalLink146.xml"/><Relationship Id="rId159" Type="http://schemas.openxmlformats.org/officeDocument/2006/relationships/externalLink" Target="externalLinks/externalLink147.xml"/><Relationship Id="rId190" Type="http://schemas.openxmlformats.org/officeDocument/2006/relationships/externalLink" Target="externalLinks/externalLink178.xml"/><Relationship Id="rId191" Type="http://schemas.openxmlformats.org/officeDocument/2006/relationships/externalLink" Target="externalLinks/externalLink179.xml"/><Relationship Id="rId192" Type="http://schemas.openxmlformats.org/officeDocument/2006/relationships/externalLink" Target="externalLinks/externalLink180.xml"/><Relationship Id="rId50" Type="http://schemas.openxmlformats.org/officeDocument/2006/relationships/externalLink" Target="externalLinks/externalLink38.xml"/><Relationship Id="rId51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1.xml"/><Relationship Id="rId54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46.xml"/><Relationship Id="rId59" Type="http://schemas.openxmlformats.org/officeDocument/2006/relationships/externalLink" Target="externalLinks/externalLink47.xml"/><Relationship Id="rId193" Type="http://schemas.openxmlformats.org/officeDocument/2006/relationships/externalLink" Target="externalLinks/externalLink181.xml"/><Relationship Id="rId194" Type="http://schemas.openxmlformats.org/officeDocument/2006/relationships/externalLink" Target="externalLinks/externalLink182.xml"/><Relationship Id="rId195" Type="http://schemas.openxmlformats.org/officeDocument/2006/relationships/externalLink" Target="externalLinks/externalLink183.xml"/><Relationship Id="rId196" Type="http://schemas.openxmlformats.org/officeDocument/2006/relationships/externalLink" Target="externalLinks/externalLink184.xml"/><Relationship Id="rId197" Type="http://schemas.openxmlformats.org/officeDocument/2006/relationships/externalLink" Target="externalLinks/externalLink185.xml"/><Relationship Id="rId198" Type="http://schemas.openxmlformats.org/officeDocument/2006/relationships/externalLink" Target="externalLinks/externalLink186.xml"/><Relationship Id="rId199" Type="http://schemas.openxmlformats.org/officeDocument/2006/relationships/externalLink" Target="externalLinks/externalLink187.xml"/><Relationship Id="rId90" Type="http://schemas.openxmlformats.org/officeDocument/2006/relationships/externalLink" Target="externalLinks/externalLink78.xml"/><Relationship Id="rId91" Type="http://schemas.openxmlformats.org/officeDocument/2006/relationships/externalLink" Target="externalLinks/externalLink79.xml"/><Relationship Id="rId92" Type="http://schemas.openxmlformats.org/officeDocument/2006/relationships/externalLink" Target="externalLinks/externalLink80.xml"/><Relationship Id="rId93" Type="http://schemas.openxmlformats.org/officeDocument/2006/relationships/externalLink" Target="externalLinks/externalLink81.xml"/><Relationship Id="rId94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4.xml"/><Relationship Id="rId97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86.xml"/><Relationship Id="rId99" Type="http://schemas.openxmlformats.org/officeDocument/2006/relationships/externalLink" Target="externalLinks/externalLink87.xml"/><Relationship Id="rId120" Type="http://schemas.openxmlformats.org/officeDocument/2006/relationships/externalLink" Target="externalLinks/externalLink108.xml"/><Relationship Id="rId121" Type="http://schemas.openxmlformats.org/officeDocument/2006/relationships/externalLink" Target="externalLinks/externalLink109.xml"/><Relationship Id="rId122" Type="http://schemas.openxmlformats.org/officeDocument/2006/relationships/externalLink" Target="externalLinks/externalLink110.xml"/><Relationship Id="rId123" Type="http://schemas.openxmlformats.org/officeDocument/2006/relationships/externalLink" Target="externalLinks/externalLink111.xml"/><Relationship Id="rId124" Type="http://schemas.openxmlformats.org/officeDocument/2006/relationships/externalLink" Target="externalLinks/externalLink112.xml"/><Relationship Id="rId125" Type="http://schemas.openxmlformats.org/officeDocument/2006/relationships/externalLink" Target="externalLinks/externalLink113.xml"/><Relationship Id="rId126" Type="http://schemas.openxmlformats.org/officeDocument/2006/relationships/externalLink" Target="externalLinks/externalLink114.xml"/><Relationship Id="rId127" Type="http://schemas.openxmlformats.org/officeDocument/2006/relationships/externalLink" Target="externalLinks/externalLink115.xml"/><Relationship Id="rId128" Type="http://schemas.openxmlformats.org/officeDocument/2006/relationships/externalLink" Target="externalLinks/externalLink116.xml"/><Relationship Id="rId129" Type="http://schemas.openxmlformats.org/officeDocument/2006/relationships/externalLink" Target="externalLinks/externalLink117.xml"/><Relationship Id="rId160" Type="http://schemas.openxmlformats.org/officeDocument/2006/relationships/externalLink" Target="externalLinks/externalLink148.xml"/><Relationship Id="rId161" Type="http://schemas.openxmlformats.org/officeDocument/2006/relationships/externalLink" Target="externalLinks/externalLink149.xml"/><Relationship Id="rId162" Type="http://schemas.openxmlformats.org/officeDocument/2006/relationships/externalLink" Target="externalLinks/externalLink150.xml"/><Relationship Id="rId20" Type="http://schemas.openxmlformats.org/officeDocument/2006/relationships/externalLink" Target="externalLinks/externalLink8.xml"/><Relationship Id="rId21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17.xml"/><Relationship Id="rId163" Type="http://schemas.openxmlformats.org/officeDocument/2006/relationships/externalLink" Target="externalLinks/externalLink151.xml"/><Relationship Id="rId164" Type="http://schemas.openxmlformats.org/officeDocument/2006/relationships/externalLink" Target="externalLinks/externalLink152.xml"/><Relationship Id="rId165" Type="http://schemas.openxmlformats.org/officeDocument/2006/relationships/externalLink" Target="externalLinks/externalLink153.xml"/><Relationship Id="rId166" Type="http://schemas.openxmlformats.org/officeDocument/2006/relationships/externalLink" Target="externalLinks/externalLink154.xml"/><Relationship Id="rId167" Type="http://schemas.openxmlformats.org/officeDocument/2006/relationships/externalLink" Target="externalLinks/externalLink155.xml"/><Relationship Id="rId168" Type="http://schemas.openxmlformats.org/officeDocument/2006/relationships/externalLink" Target="externalLinks/externalLink156.xml"/><Relationship Id="rId169" Type="http://schemas.openxmlformats.org/officeDocument/2006/relationships/externalLink" Target="externalLinks/externalLink157.xml"/><Relationship Id="rId200" Type="http://schemas.openxmlformats.org/officeDocument/2006/relationships/externalLink" Target="externalLinks/externalLink188.xml"/><Relationship Id="rId201" Type="http://schemas.openxmlformats.org/officeDocument/2006/relationships/externalLink" Target="externalLinks/externalLink189.xml"/><Relationship Id="rId202" Type="http://schemas.openxmlformats.org/officeDocument/2006/relationships/externalLink" Target="externalLinks/externalLink190.xml"/><Relationship Id="rId203" Type="http://schemas.openxmlformats.org/officeDocument/2006/relationships/externalLink" Target="externalLinks/externalLink191.xml"/><Relationship Id="rId60" Type="http://schemas.openxmlformats.org/officeDocument/2006/relationships/externalLink" Target="externalLinks/externalLink48.xml"/><Relationship Id="rId61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57.xml"/><Relationship Id="rId204" Type="http://schemas.openxmlformats.org/officeDocument/2006/relationships/externalLink" Target="externalLinks/externalLink192.xml"/><Relationship Id="rId205" Type="http://schemas.openxmlformats.org/officeDocument/2006/relationships/externalLink" Target="externalLinks/externalLink193.xml"/><Relationship Id="rId206" Type="http://schemas.openxmlformats.org/officeDocument/2006/relationships/externalLink" Target="externalLinks/externalLink194.xml"/><Relationship Id="rId207" Type="http://schemas.openxmlformats.org/officeDocument/2006/relationships/externalLink" Target="externalLinks/externalLink195.xml"/><Relationship Id="rId208" Type="http://schemas.openxmlformats.org/officeDocument/2006/relationships/externalLink" Target="externalLinks/externalLink196.xml"/><Relationship Id="rId209" Type="http://schemas.openxmlformats.org/officeDocument/2006/relationships/externalLink" Target="externalLinks/externalLink197.xml"/><Relationship Id="rId130" Type="http://schemas.openxmlformats.org/officeDocument/2006/relationships/externalLink" Target="externalLinks/externalLink118.xml"/><Relationship Id="rId131" Type="http://schemas.openxmlformats.org/officeDocument/2006/relationships/externalLink" Target="externalLinks/externalLink119.xml"/><Relationship Id="rId132" Type="http://schemas.openxmlformats.org/officeDocument/2006/relationships/externalLink" Target="externalLinks/externalLink120.xml"/><Relationship Id="rId133" Type="http://schemas.openxmlformats.org/officeDocument/2006/relationships/externalLink" Target="externalLinks/externalLink121.xml"/><Relationship Id="rId134" Type="http://schemas.openxmlformats.org/officeDocument/2006/relationships/externalLink" Target="externalLinks/externalLink122.xml"/><Relationship Id="rId135" Type="http://schemas.openxmlformats.org/officeDocument/2006/relationships/externalLink" Target="externalLinks/externalLink123.xml"/><Relationship Id="rId136" Type="http://schemas.openxmlformats.org/officeDocument/2006/relationships/externalLink" Target="externalLinks/externalLink124.xml"/><Relationship Id="rId137" Type="http://schemas.openxmlformats.org/officeDocument/2006/relationships/externalLink" Target="externalLinks/externalLink125.xml"/><Relationship Id="rId138" Type="http://schemas.openxmlformats.org/officeDocument/2006/relationships/externalLink" Target="externalLinks/externalLink126.xml"/><Relationship Id="rId139" Type="http://schemas.openxmlformats.org/officeDocument/2006/relationships/externalLink" Target="externalLinks/externalLink127.xml"/><Relationship Id="rId170" Type="http://schemas.openxmlformats.org/officeDocument/2006/relationships/externalLink" Target="externalLinks/externalLink158.xml"/><Relationship Id="rId171" Type="http://schemas.openxmlformats.org/officeDocument/2006/relationships/externalLink" Target="externalLinks/externalLink159.xml"/><Relationship Id="rId172" Type="http://schemas.openxmlformats.org/officeDocument/2006/relationships/externalLink" Target="externalLinks/externalLink160.xml"/><Relationship Id="rId30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1.xml"/><Relationship Id="rId34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26.xml"/><Relationship Id="rId39" Type="http://schemas.openxmlformats.org/officeDocument/2006/relationships/externalLink" Target="externalLinks/externalLink27.xml"/><Relationship Id="rId173" Type="http://schemas.openxmlformats.org/officeDocument/2006/relationships/externalLink" Target="externalLinks/externalLink161.xml"/><Relationship Id="rId174" Type="http://schemas.openxmlformats.org/officeDocument/2006/relationships/externalLink" Target="externalLinks/externalLink162.xml"/><Relationship Id="rId175" Type="http://schemas.openxmlformats.org/officeDocument/2006/relationships/externalLink" Target="externalLinks/externalLink163.xml"/><Relationship Id="rId176" Type="http://schemas.openxmlformats.org/officeDocument/2006/relationships/externalLink" Target="externalLinks/externalLink164.xml"/><Relationship Id="rId177" Type="http://schemas.openxmlformats.org/officeDocument/2006/relationships/externalLink" Target="externalLinks/externalLink165.xml"/><Relationship Id="rId178" Type="http://schemas.openxmlformats.org/officeDocument/2006/relationships/externalLink" Target="externalLinks/externalLink166.xml"/><Relationship Id="rId179" Type="http://schemas.openxmlformats.org/officeDocument/2006/relationships/externalLink" Target="externalLinks/externalLink167.xml"/><Relationship Id="rId210" Type="http://schemas.openxmlformats.org/officeDocument/2006/relationships/externalLink" Target="externalLinks/externalLink198.xml"/><Relationship Id="rId211" Type="http://schemas.openxmlformats.org/officeDocument/2006/relationships/externalLink" Target="externalLinks/externalLink199.xml"/><Relationship Id="rId212" Type="http://schemas.openxmlformats.org/officeDocument/2006/relationships/externalLink" Target="externalLinks/externalLink200.xml"/><Relationship Id="rId213" Type="http://schemas.openxmlformats.org/officeDocument/2006/relationships/externalLink" Target="externalLinks/externalLink201.xml"/><Relationship Id="rId70" Type="http://schemas.openxmlformats.org/officeDocument/2006/relationships/externalLink" Target="externalLinks/externalLink58.xml"/><Relationship Id="rId71" Type="http://schemas.openxmlformats.org/officeDocument/2006/relationships/externalLink" Target="externalLinks/externalLink59.xml"/><Relationship Id="rId72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61.xml"/><Relationship Id="rId74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3.xml"/><Relationship Id="rId76" Type="http://schemas.openxmlformats.org/officeDocument/2006/relationships/externalLink" Target="externalLinks/externalLink64.xml"/><Relationship Id="rId77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67.xml"/><Relationship Id="rId214" Type="http://schemas.openxmlformats.org/officeDocument/2006/relationships/externalLink" Target="externalLinks/externalLink202.xml"/><Relationship Id="rId215" Type="http://schemas.openxmlformats.org/officeDocument/2006/relationships/externalLink" Target="externalLinks/externalLink203.xml"/><Relationship Id="rId216" Type="http://schemas.openxmlformats.org/officeDocument/2006/relationships/externalLink" Target="externalLinks/externalLink204.xml"/><Relationship Id="rId217" Type="http://schemas.openxmlformats.org/officeDocument/2006/relationships/externalLink" Target="externalLinks/externalLink205.xml"/><Relationship Id="rId218" Type="http://schemas.openxmlformats.org/officeDocument/2006/relationships/externalLink" Target="externalLinks/externalLink206.xml"/><Relationship Id="rId219" Type="http://schemas.openxmlformats.org/officeDocument/2006/relationships/externalLink" Target="externalLinks/externalLink20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100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89.xml"/><Relationship Id="rId102" Type="http://schemas.openxmlformats.org/officeDocument/2006/relationships/externalLink" Target="externalLinks/externalLink90.xml"/><Relationship Id="rId103" Type="http://schemas.openxmlformats.org/officeDocument/2006/relationships/externalLink" Target="externalLinks/externalLink91.xml"/><Relationship Id="rId104" Type="http://schemas.openxmlformats.org/officeDocument/2006/relationships/externalLink" Target="externalLinks/externalLink92.xml"/><Relationship Id="rId105" Type="http://schemas.openxmlformats.org/officeDocument/2006/relationships/externalLink" Target="externalLinks/externalLink93.xml"/><Relationship Id="rId106" Type="http://schemas.openxmlformats.org/officeDocument/2006/relationships/externalLink" Target="externalLinks/externalLink94.xml"/><Relationship Id="rId107" Type="http://schemas.openxmlformats.org/officeDocument/2006/relationships/externalLink" Target="externalLinks/externalLink95.xml"/><Relationship Id="rId108" Type="http://schemas.openxmlformats.org/officeDocument/2006/relationships/externalLink" Target="externalLinks/externalLink96.xml"/><Relationship Id="rId109" Type="http://schemas.openxmlformats.org/officeDocument/2006/relationships/externalLink" Target="externalLinks/externalLink97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40" Type="http://schemas.openxmlformats.org/officeDocument/2006/relationships/externalLink" Target="externalLinks/externalLink128.xml"/><Relationship Id="rId141" Type="http://schemas.openxmlformats.org/officeDocument/2006/relationships/externalLink" Target="externalLinks/externalLink12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7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chartUserShapes" Target="../drawings/drawing8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pic_freq_10!$J$1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pic_freq_10!$J$2:$J$11</c:f>
              <c:numCache>
                <c:formatCode>General</c:formatCode>
                <c:ptCount val="10"/>
                <c:pt idx="0">
                  <c:v>0.553475935828877</c:v>
                </c:pt>
                <c:pt idx="1">
                  <c:v>0.0848930481283422</c:v>
                </c:pt>
                <c:pt idx="2">
                  <c:v>0.0521390374331551</c:v>
                </c:pt>
                <c:pt idx="3">
                  <c:v>0.036096256684492</c:v>
                </c:pt>
                <c:pt idx="4">
                  <c:v>0.0367647058823529</c:v>
                </c:pt>
                <c:pt idx="5">
                  <c:v>0.0247326203208556</c:v>
                </c:pt>
                <c:pt idx="6">
                  <c:v>0.0233957219251337</c:v>
                </c:pt>
                <c:pt idx="7">
                  <c:v>0.036096256684492</c:v>
                </c:pt>
                <c:pt idx="8">
                  <c:v>0.0407754010695187</c:v>
                </c:pt>
                <c:pt idx="9">
                  <c:v>0.111631016042781</c:v>
                </c:pt>
              </c:numCache>
            </c:numRef>
          </c:val>
        </c:ser>
        <c:ser>
          <c:idx val="1"/>
          <c:order val="1"/>
          <c:tx>
            <c:strRef>
              <c:f>pic_freq_10!$K$1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pic_freq_10!$K$2:$K$11</c:f>
              <c:numCache>
                <c:formatCode>General</c:formatCode>
                <c:ptCount val="10"/>
                <c:pt idx="0">
                  <c:v>0.584194977843427</c:v>
                </c:pt>
                <c:pt idx="1">
                  <c:v>0.0982274741506647</c:v>
                </c:pt>
                <c:pt idx="2">
                  <c:v>0.0553914327917282</c:v>
                </c:pt>
                <c:pt idx="3">
                  <c:v>0.0324963072378139</c:v>
                </c:pt>
                <c:pt idx="4">
                  <c:v>0.0369276218611521</c:v>
                </c:pt>
                <c:pt idx="5">
                  <c:v>0.0280649926144756</c:v>
                </c:pt>
                <c:pt idx="6">
                  <c:v>0.0258493353028065</c:v>
                </c:pt>
                <c:pt idx="7">
                  <c:v>0.0236336779911374</c:v>
                </c:pt>
                <c:pt idx="8">
                  <c:v>0.0302806499261448</c:v>
                </c:pt>
                <c:pt idx="9">
                  <c:v>0.0849335302806499</c:v>
                </c:pt>
              </c:numCache>
            </c:numRef>
          </c:val>
        </c:ser>
        <c:ser>
          <c:idx val="2"/>
          <c:order val="2"/>
          <c:tx>
            <c:strRef>
              <c:f>pic_freq_10!$L$1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pic_freq_10!$L$2:$L$11</c:f>
              <c:numCache>
                <c:formatCode>General</c:formatCode>
                <c:ptCount val="10"/>
                <c:pt idx="0">
                  <c:v>0.596423017107309</c:v>
                </c:pt>
                <c:pt idx="1">
                  <c:v>0.0909797822706065</c:v>
                </c:pt>
                <c:pt idx="2">
                  <c:v>0.0536547433903577</c:v>
                </c:pt>
                <c:pt idx="3">
                  <c:v>0.0388802488335925</c:v>
                </c:pt>
                <c:pt idx="4">
                  <c:v>0.0349922239502333</c:v>
                </c:pt>
                <c:pt idx="5">
                  <c:v>0.02099533437014</c:v>
                </c:pt>
                <c:pt idx="6">
                  <c:v>0.0233281493001555</c:v>
                </c:pt>
                <c:pt idx="7">
                  <c:v>0.0241057542768274</c:v>
                </c:pt>
                <c:pt idx="8">
                  <c:v>0.0248833592534992</c:v>
                </c:pt>
                <c:pt idx="9">
                  <c:v>0.0917573872472784</c:v>
                </c:pt>
              </c:numCache>
            </c:numRef>
          </c:val>
        </c:ser>
        <c:ser>
          <c:idx val="3"/>
          <c:order val="3"/>
          <c:tx>
            <c:strRef>
              <c:f>pic_freq_10!$M$1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pic_freq_10!$M$2:$M$11</c:f>
              <c:numCache>
                <c:formatCode>General</c:formatCode>
                <c:ptCount val="10"/>
                <c:pt idx="0">
                  <c:v>0.539951573849879</c:v>
                </c:pt>
                <c:pt idx="1">
                  <c:v>0.0895883777239709</c:v>
                </c:pt>
                <c:pt idx="2">
                  <c:v>0.0593220338983051</c:v>
                </c:pt>
                <c:pt idx="3">
                  <c:v>0.0435835351089588</c:v>
                </c:pt>
                <c:pt idx="4">
                  <c:v>0.0351089588377724</c:v>
                </c:pt>
                <c:pt idx="5">
                  <c:v>0.0411622276029056</c:v>
                </c:pt>
                <c:pt idx="6">
                  <c:v>0.0351089588377724</c:v>
                </c:pt>
                <c:pt idx="7">
                  <c:v>0.0351089588377724</c:v>
                </c:pt>
                <c:pt idx="8">
                  <c:v>0.0278450363196126</c:v>
                </c:pt>
                <c:pt idx="9">
                  <c:v>0.0932203389830508</c:v>
                </c:pt>
              </c:numCache>
            </c:numRef>
          </c:val>
        </c:ser>
        <c:ser>
          <c:idx val="4"/>
          <c:order val="4"/>
          <c:tx>
            <c:strRef>
              <c:f>pic_freq_10!$N$1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pic_freq_10!$N$2:$N$11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2630288"/>
        <c:axId val="2136135456"/>
      </c:barChart>
      <c:catAx>
        <c:axId val="21326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135456"/>
        <c:crosses val="autoZero"/>
        <c:auto val="1"/>
        <c:lblAlgn val="ctr"/>
        <c:lblOffset val="100"/>
        <c:noMultiLvlLbl val="0"/>
      </c:catAx>
      <c:valAx>
        <c:axId val="213613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26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'freq_each-cds'!$P$2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'freq_each-cds'!$O$3:$O$129</c:f>
              <c:numCache>
                <c:formatCode>General</c:formatCode>
                <c:ptCount val="1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'freq_each-cds'!$P$3:$P$129</c:f>
              <c:numCache>
                <c:formatCode>General</c:formatCode>
                <c:ptCount val="127"/>
                <c:pt idx="0">
                  <c:v>0.550049554013875</c:v>
                </c:pt>
                <c:pt idx="1">
                  <c:v>0.536901865369019</c:v>
                </c:pt>
                <c:pt idx="2">
                  <c:v>0.518482490272374</c:v>
                </c:pt>
                <c:pt idx="3">
                  <c:v>0.554033485540335</c:v>
                </c:pt>
                <c:pt idx="4">
                  <c:v>0.496828752642706</c:v>
                </c:pt>
                <c:pt idx="5">
                  <c:v>0.520076481835564</c:v>
                </c:pt>
                <c:pt idx="6">
                  <c:v>0.484679665738162</c:v>
                </c:pt>
                <c:pt idx="7">
                  <c:v>0.533536585365854</c:v>
                </c:pt>
                <c:pt idx="8">
                  <c:v>0.511494252873563</c:v>
                </c:pt>
                <c:pt idx="9">
                  <c:v>0.524916943521595</c:v>
                </c:pt>
                <c:pt idx="10">
                  <c:v>0.5311004784689</c:v>
                </c:pt>
                <c:pt idx="11">
                  <c:v>0.508982035928144</c:v>
                </c:pt>
                <c:pt idx="12">
                  <c:v>0.560846560846561</c:v>
                </c:pt>
                <c:pt idx="13">
                  <c:v>0.505882352941176</c:v>
                </c:pt>
                <c:pt idx="14">
                  <c:v>0.510489510489511</c:v>
                </c:pt>
                <c:pt idx="15">
                  <c:v>0.641025641025641</c:v>
                </c:pt>
                <c:pt idx="16">
                  <c:v>0.465648854961832</c:v>
                </c:pt>
                <c:pt idx="17">
                  <c:v>0.526315789473684</c:v>
                </c:pt>
                <c:pt idx="18">
                  <c:v>0.6</c:v>
                </c:pt>
                <c:pt idx="19">
                  <c:v>0.548387096774193</c:v>
                </c:pt>
                <c:pt idx="20">
                  <c:v>0.443181818181818</c:v>
                </c:pt>
                <c:pt idx="21">
                  <c:v>0.630952380952381</c:v>
                </c:pt>
                <c:pt idx="22">
                  <c:v>0.514285714285714</c:v>
                </c:pt>
                <c:pt idx="23">
                  <c:v>0.528089887640449</c:v>
                </c:pt>
                <c:pt idx="24">
                  <c:v>0.552941176470588</c:v>
                </c:pt>
                <c:pt idx="25">
                  <c:v>0.582278481012658</c:v>
                </c:pt>
                <c:pt idx="26">
                  <c:v>0.554347826086957</c:v>
                </c:pt>
                <c:pt idx="27">
                  <c:v>0.5625</c:v>
                </c:pt>
                <c:pt idx="28">
                  <c:v>0.5</c:v>
                </c:pt>
                <c:pt idx="29">
                  <c:v>0.565217391304348</c:v>
                </c:pt>
                <c:pt idx="30">
                  <c:v>0.625</c:v>
                </c:pt>
                <c:pt idx="31">
                  <c:v>0.58974358974359</c:v>
                </c:pt>
                <c:pt idx="32">
                  <c:v>0.527027027027027</c:v>
                </c:pt>
                <c:pt idx="33">
                  <c:v>0.555555555555556</c:v>
                </c:pt>
                <c:pt idx="34">
                  <c:v>0.45</c:v>
                </c:pt>
                <c:pt idx="35">
                  <c:v>0.5</c:v>
                </c:pt>
                <c:pt idx="36">
                  <c:v>0.575757575757576</c:v>
                </c:pt>
                <c:pt idx="37">
                  <c:v>0.454545454545454</c:v>
                </c:pt>
                <c:pt idx="38">
                  <c:v>0.657142857142857</c:v>
                </c:pt>
                <c:pt idx="39">
                  <c:v>0.550724637681159</c:v>
                </c:pt>
                <c:pt idx="40">
                  <c:v>0.641791044776119</c:v>
                </c:pt>
                <c:pt idx="41">
                  <c:v>0.630434782608696</c:v>
                </c:pt>
                <c:pt idx="42">
                  <c:v>0.53448275862069</c:v>
                </c:pt>
                <c:pt idx="43">
                  <c:v>0.589285714285714</c:v>
                </c:pt>
                <c:pt idx="44">
                  <c:v>0.63265306122449</c:v>
                </c:pt>
                <c:pt idx="45">
                  <c:v>0.509433962264151</c:v>
                </c:pt>
                <c:pt idx="46">
                  <c:v>0.607843137254902</c:v>
                </c:pt>
                <c:pt idx="47">
                  <c:v>0.573770491803279</c:v>
                </c:pt>
                <c:pt idx="48">
                  <c:v>0.440677966101695</c:v>
                </c:pt>
                <c:pt idx="49">
                  <c:v>0.457627118644068</c:v>
                </c:pt>
                <c:pt idx="50">
                  <c:v>0.611111111111111</c:v>
                </c:pt>
                <c:pt idx="51">
                  <c:v>0.584905660377358</c:v>
                </c:pt>
                <c:pt idx="52">
                  <c:v>0.489795918367347</c:v>
                </c:pt>
                <c:pt idx="53">
                  <c:v>0.571428571428571</c:v>
                </c:pt>
                <c:pt idx="54">
                  <c:v>0.692307692307692</c:v>
                </c:pt>
                <c:pt idx="55">
                  <c:v>0.592592592592593</c:v>
                </c:pt>
                <c:pt idx="56">
                  <c:v>0.66</c:v>
                </c:pt>
                <c:pt idx="57">
                  <c:v>0.575757575757576</c:v>
                </c:pt>
                <c:pt idx="58">
                  <c:v>0.611111111111111</c:v>
                </c:pt>
                <c:pt idx="59">
                  <c:v>0.645833333333333</c:v>
                </c:pt>
                <c:pt idx="60">
                  <c:v>0.489795918367347</c:v>
                </c:pt>
                <c:pt idx="61">
                  <c:v>0.690909090909091</c:v>
                </c:pt>
                <c:pt idx="62">
                  <c:v>0.55</c:v>
                </c:pt>
                <c:pt idx="63">
                  <c:v>0.73469387755102</c:v>
                </c:pt>
                <c:pt idx="64">
                  <c:v>0.7</c:v>
                </c:pt>
                <c:pt idx="65">
                  <c:v>0.581395348837209</c:v>
                </c:pt>
                <c:pt idx="66">
                  <c:v>0.547169811320755</c:v>
                </c:pt>
                <c:pt idx="67">
                  <c:v>0.545454545454545</c:v>
                </c:pt>
                <c:pt idx="68">
                  <c:v>0.68</c:v>
                </c:pt>
                <c:pt idx="69">
                  <c:v>0.711111111111111</c:v>
                </c:pt>
                <c:pt idx="70">
                  <c:v>0.651162790697674</c:v>
                </c:pt>
                <c:pt idx="71">
                  <c:v>0.711538461538461</c:v>
                </c:pt>
                <c:pt idx="72">
                  <c:v>0.528301886792453</c:v>
                </c:pt>
                <c:pt idx="73">
                  <c:v>0.590909090909091</c:v>
                </c:pt>
                <c:pt idx="74">
                  <c:v>0.5</c:v>
                </c:pt>
                <c:pt idx="75">
                  <c:v>0.566037735849057</c:v>
                </c:pt>
                <c:pt idx="76">
                  <c:v>0.547619047619048</c:v>
                </c:pt>
                <c:pt idx="77">
                  <c:v>0.727272727272727</c:v>
                </c:pt>
                <c:pt idx="78">
                  <c:v>0.769230769230769</c:v>
                </c:pt>
                <c:pt idx="79">
                  <c:v>0.630434782608696</c:v>
                </c:pt>
                <c:pt idx="80">
                  <c:v>0.673076923076923</c:v>
                </c:pt>
                <c:pt idx="81">
                  <c:v>0.659090909090909</c:v>
                </c:pt>
                <c:pt idx="82">
                  <c:v>0.641025641025641</c:v>
                </c:pt>
                <c:pt idx="83">
                  <c:v>0.621621621621622</c:v>
                </c:pt>
                <c:pt idx="84">
                  <c:v>0.583333333333333</c:v>
                </c:pt>
                <c:pt idx="85">
                  <c:v>0.625</c:v>
                </c:pt>
                <c:pt idx="86">
                  <c:v>0.59375</c:v>
                </c:pt>
                <c:pt idx="87">
                  <c:v>0.735294117647059</c:v>
                </c:pt>
                <c:pt idx="88">
                  <c:v>0.641025641025641</c:v>
                </c:pt>
                <c:pt idx="89">
                  <c:v>0.568181818181818</c:v>
                </c:pt>
                <c:pt idx="90">
                  <c:v>0.627906976744186</c:v>
                </c:pt>
                <c:pt idx="91">
                  <c:v>0.642857142857143</c:v>
                </c:pt>
                <c:pt idx="92">
                  <c:v>0.78125</c:v>
                </c:pt>
                <c:pt idx="93">
                  <c:v>0.594594594594595</c:v>
                </c:pt>
                <c:pt idx="94">
                  <c:v>0.538461538461538</c:v>
                </c:pt>
                <c:pt idx="95">
                  <c:v>0.697674418604651</c:v>
                </c:pt>
                <c:pt idx="96">
                  <c:v>0.5625</c:v>
                </c:pt>
                <c:pt idx="97">
                  <c:v>0.574468085106383</c:v>
                </c:pt>
                <c:pt idx="98">
                  <c:v>0.705882352941176</c:v>
                </c:pt>
                <c:pt idx="99">
                  <c:v>0.693877551020408</c:v>
                </c:pt>
                <c:pt idx="100">
                  <c:v>0.621621621621622</c:v>
                </c:pt>
                <c:pt idx="101">
                  <c:v>0.553571428571429</c:v>
                </c:pt>
                <c:pt idx="102">
                  <c:v>0.627450980392157</c:v>
                </c:pt>
                <c:pt idx="103">
                  <c:v>0.563636363636364</c:v>
                </c:pt>
                <c:pt idx="104">
                  <c:v>0.512820512820513</c:v>
                </c:pt>
                <c:pt idx="105">
                  <c:v>0.704545454545455</c:v>
                </c:pt>
                <c:pt idx="106">
                  <c:v>0.672727272727273</c:v>
                </c:pt>
                <c:pt idx="107">
                  <c:v>0.666666666666667</c:v>
                </c:pt>
                <c:pt idx="108">
                  <c:v>0.580645161290323</c:v>
                </c:pt>
                <c:pt idx="109">
                  <c:v>0.547169811320755</c:v>
                </c:pt>
                <c:pt idx="110">
                  <c:v>0.766666666666667</c:v>
                </c:pt>
                <c:pt idx="111">
                  <c:v>0.666666666666667</c:v>
                </c:pt>
                <c:pt idx="112">
                  <c:v>0.615384615384615</c:v>
                </c:pt>
                <c:pt idx="113">
                  <c:v>0.6</c:v>
                </c:pt>
                <c:pt idx="114">
                  <c:v>0.647727272727273</c:v>
                </c:pt>
                <c:pt idx="115">
                  <c:v>0.509803921568627</c:v>
                </c:pt>
                <c:pt idx="116">
                  <c:v>0.632911392405063</c:v>
                </c:pt>
                <c:pt idx="117">
                  <c:v>0.652631578947368</c:v>
                </c:pt>
                <c:pt idx="118">
                  <c:v>0.657142857142857</c:v>
                </c:pt>
                <c:pt idx="119">
                  <c:v>0.647058823529412</c:v>
                </c:pt>
                <c:pt idx="120">
                  <c:v>0.636363636363636</c:v>
                </c:pt>
                <c:pt idx="121">
                  <c:v>0.685483870967742</c:v>
                </c:pt>
                <c:pt idx="122">
                  <c:v>0.617391304347826</c:v>
                </c:pt>
                <c:pt idx="123">
                  <c:v>0.662251655629139</c:v>
                </c:pt>
                <c:pt idx="124">
                  <c:v>0.59825327510917</c:v>
                </c:pt>
                <c:pt idx="125">
                  <c:v>0.643122676579926</c:v>
                </c:pt>
                <c:pt idx="126">
                  <c:v>0.64359351988218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'freq_each-cds'!$Q$2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'freq_each-cds'!$O$3:$O$129</c:f>
              <c:numCache>
                <c:formatCode>General</c:formatCode>
                <c:ptCount val="1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'freq_each-cds'!$Q$3:$Q$129</c:f>
              <c:numCache>
                <c:formatCode>General</c:formatCode>
                <c:ptCount val="127"/>
                <c:pt idx="0">
                  <c:v>0.449950445986125</c:v>
                </c:pt>
                <c:pt idx="1">
                  <c:v>0.463098134630981</c:v>
                </c:pt>
                <c:pt idx="2">
                  <c:v>0.481517509727626</c:v>
                </c:pt>
                <c:pt idx="3">
                  <c:v>0.445966514459665</c:v>
                </c:pt>
                <c:pt idx="4">
                  <c:v>0.503171247357294</c:v>
                </c:pt>
                <c:pt idx="5">
                  <c:v>0.479923518164436</c:v>
                </c:pt>
                <c:pt idx="6">
                  <c:v>0.515320334261838</c:v>
                </c:pt>
                <c:pt idx="7">
                  <c:v>0.466463414634146</c:v>
                </c:pt>
                <c:pt idx="8">
                  <c:v>0.488505747126437</c:v>
                </c:pt>
                <c:pt idx="9">
                  <c:v>0.475083056478405</c:v>
                </c:pt>
                <c:pt idx="10">
                  <c:v>0.4688995215311</c:v>
                </c:pt>
                <c:pt idx="11">
                  <c:v>0.491017964071856</c:v>
                </c:pt>
                <c:pt idx="12">
                  <c:v>0.439153439153439</c:v>
                </c:pt>
                <c:pt idx="13">
                  <c:v>0.494117647058824</c:v>
                </c:pt>
                <c:pt idx="14">
                  <c:v>0.489510489510489</c:v>
                </c:pt>
                <c:pt idx="15">
                  <c:v>0.358974358974359</c:v>
                </c:pt>
                <c:pt idx="16">
                  <c:v>0.534351145038168</c:v>
                </c:pt>
                <c:pt idx="17">
                  <c:v>0.473684210526316</c:v>
                </c:pt>
                <c:pt idx="18">
                  <c:v>0.4</c:v>
                </c:pt>
                <c:pt idx="19">
                  <c:v>0.451612903225806</c:v>
                </c:pt>
                <c:pt idx="20">
                  <c:v>0.556818181818182</c:v>
                </c:pt>
                <c:pt idx="21">
                  <c:v>0.369047619047619</c:v>
                </c:pt>
                <c:pt idx="22">
                  <c:v>0.485714285714286</c:v>
                </c:pt>
                <c:pt idx="23">
                  <c:v>0.471910112359551</c:v>
                </c:pt>
                <c:pt idx="24">
                  <c:v>0.447058823529412</c:v>
                </c:pt>
                <c:pt idx="25">
                  <c:v>0.417721518987342</c:v>
                </c:pt>
                <c:pt idx="26">
                  <c:v>0.445652173913043</c:v>
                </c:pt>
                <c:pt idx="27">
                  <c:v>0.4375</c:v>
                </c:pt>
                <c:pt idx="28">
                  <c:v>0.5</c:v>
                </c:pt>
                <c:pt idx="29">
                  <c:v>0.434782608695652</c:v>
                </c:pt>
                <c:pt idx="30">
                  <c:v>0.375</c:v>
                </c:pt>
                <c:pt idx="31">
                  <c:v>0.41025641025641</c:v>
                </c:pt>
                <c:pt idx="32">
                  <c:v>0.472972972972973</c:v>
                </c:pt>
                <c:pt idx="33">
                  <c:v>0.444444444444444</c:v>
                </c:pt>
                <c:pt idx="34">
                  <c:v>0.55</c:v>
                </c:pt>
                <c:pt idx="35">
                  <c:v>0.5</c:v>
                </c:pt>
                <c:pt idx="36">
                  <c:v>0.424242424242424</c:v>
                </c:pt>
                <c:pt idx="37">
                  <c:v>0.545454545454545</c:v>
                </c:pt>
                <c:pt idx="38">
                  <c:v>0.342857142857143</c:v>
                </c:pt>
                <c:pt idx="39">
                  <c:v>0.449275362318841</c:v>
                </c:pt>
                <c:pt idx="40">
                  <c:v>0.358208955223881</c:v>
                </c:pt>
                <c:pt idx="41">
                  <c:v>0.369565217391304</c:v>
                </c:pt>
                <c:pt idx="42">
                  <c:v>0.46551724137931</c:v>
                </c:pt>
                <c:pt idx="43">
                  <c:v>0.410714285714286</c:v>
                </c:pt>
                <c:pt idx="44">
                  <c:v>0.36734693877551</c:v>
                </c:pt>
                <c:pt idx="45">
                  <c:v>0.490566037735849</c:v>
                </c:pt>
                <c:pt idx="46">
                  <c:v>0.392156862745098</c:v>
                </c:pt>
                <c:pt idx="47">
                  <c:v>0.426229508196721</c:v>
                </c:pt>
                <c:pt idx="48">
                  <c:v>0.559322033898305</c:v>
                </c:pt>
                <c:pt idx="49">
                  <c:v>0.542372881355932</c:v>
                </c:pt>
                <c:pt idx="50">
                  <c:v>0.388888888888889</c:v>
                </c:pt>
                <c:pt idx="51">
                  <c:v>0.415094339622642</c:v>
                </c:pt>
                <c:pt idx="52">
                  <c:v>0.510204081632653</c:v>
                </c:pt>
                <c:pt idx="53">
                  <c:v>0.428571428571429</c:v>
                </c:pt>
                <c:pt idx="54">
                  <c:v>0.307692307692308</c:v>
                </c:pt>
                <c:pt idx="55">
                  <c:v>0.407407407407407</c:v>
                </c:pt>
                <c:pt idx="56">
                  <c:v>0.34</c:v>
                </c:pt>
                <c:pt idx="57">
                  <c:v>0.424242424242424</c:v>
                </c:pt>
                <c:pt idx="58">
                  <c:v>0.388888888888889</c:v>
                </c:pt>
                <c:pt idx="59">
                  <c:v>0.354166666666667</c:v>
                </c:pt>
                <c:pt idx="60">
                  <c:v>0.510204081632653</c:v>
                </c:pt>
                <c:pt idx="61">
                  <c:v>0.309090909090909</c:v>
                </c:pt>
                <c:pt idx="62">
                  <c:v>0.45</c:v>
                </c:pt>
                <c:pt idx="63">
                  <c:v>0.26530612244898</c:v>
                </c:pt>
                <c:pt idx="64">
                  <c:v>0.3</c:v>
                </c:pt>
                <c:pt idx="65">
                  <c:v>0.418604651162791</c:v>
                </c:pt>
                <c:pt idx="66">
                  <c:v>0.452830188679245</c:v>
                </c:pt>
                <c:pt idx="67">
                  <c:v>0.454545454545454</c:v>
                </c:pt>
                <c:pt idx="68">
                  <c:v>0.32</c:v>
                </c:pt>
                <c:pt idx="69">
                  <c:v>0.288888888888889</c:v>
                </c:pt>
                <c:pt idx="70">
                  <c:v>0.348837209302326</c:v>
                </c:pt>
                <c:pt idx="71">
                  <c:v>0.288461538461538</c:v>
                </c:pt>
                <c:pt idx="72">
                  <c:v>0.471698113207547</c:v>
                </c:pt>
                <c:pt idx="73">
                  <c:v>0.409090909090909</c:v>
                </c:pt>
                <c:pt idx="74">
                  <c:v>0.5</c:v>
                </c:pt>
                <c:pt idx="75">
                  <c:v>0.433962264150943</c:v>
                </c:pt>
                <c:pt idx="76">
                  <c:v>0.452380952380952</c:v>
                </c:pt>
                <c:pt idx="77">
                  <c:v>0.272727272727273</c:v>
                </c:pt>
                <c:pt idx="78">
                  <c:v>0.230769230769231</c:v>
                </c:pt>
                <c:pt idx="79">
                  <c:v>0.369565217391304</c:v>
                </c:pt>
                <c:pt idx="80">
                  <c:v>0.326923076923077</c:v>
                </c:pt>
                <c:pt idx="81">
                  <c:v>0.340909090909091</c:v>
                </c:pt>
                <c:pt idx="82">
                  <c:v>0.358974358974359</c:v>
                </c:pt>
                <c:pt idx="83">
                  <c:v>0.378378378378378</c:v>
                </c:pt>
                <c:pt idx="84">
                  <c:v>0.416666666666667</c:v>
                </c:pt>
                <c:pt idx="85">
                  <c:v>0.375</c:v>
                </c:pt>
                <c:pt idx="86">
                  <c:v>0.40625</c:v>
                </c:pt>
                <c:pt idx="87">
                  <c:v>0.264705882352941</c:v>
                </c:pt>
                <c:pt idx="88">
                  <c:v>0.358974358974359</c:v>
                </c:pt>
                <c:pt idx="89">
                  <c:v>0.431818181818182</c:v>
                </c:pt>
                <c:pt idx="90">
                  <c:v>0.372093023255814</c:v>
                </c:pt>
                <c:pt idx="91">
                  <c:v>0.357142857142857</c:v>
                </c:pt>
                <c:pt idx="92">
                  <c:v>0.21875</c:v>
                </c:pt>
                <c:pt idx="93">
                  <c:v>0.405405405405405</c:v>
                </c:pt>
                <c:pt idx="94">
                  <c:v>0.461538461538462</c:v>
                </c:pt>
                <c:pt idx="95">
                  <c:v>0.302325581395349</c:v>
                </c:pt>
                <c:pt idx="96">
                  <c:v>0.4375</c:v>
                </c:pt>
                <c:pt idx="97">
                  <c:v>0.425531914893617</c:v>
                </c:pt>
                <c:pt idx="98">
                  <c:v>0.294117647058824</c:v>
                </c:pt>
                <c:pt idx="99">
                  <c:v>0.306122448979592</c:v>
                </c:pt>
                <c:pt idx="100">
                  <c:v>0.378378378378378</c:v>
                </c:pt>
                <c:pt idx="101">
                  <c:v>0.446428571428571</c:v>
                </c:pt>
                <c:pt idx="102">
                  <c:v>0.372549019607843</c:v>
                </c:pt>
                <c:pt idx="103">
                  <c:v>0.436363636363636</c:v>
                </c:pt>
                <c:pt idx="104">
                  <c:v>0.487179487179487</c:v>
                </c:pt>
                <c:pt idx="105">
                  <c:v>0.295454545454545</c:v>
                </c:pt>
                <c:pt idx="106">
                  <c:v>0.327272727272727</c:v>
                </c:pt>
                <c:pt idx="107">
                  <c:v>0.333333333333333</c:v>
                </c:pt>
                <c:pt idx="108">
                  <c:v>0.419354838709677</c:v>
                </c:pt>
                <c:pt idx="109">
                  <c:v>0.452830188679245</c:v>
                </c:pt>
                <c:pt idx="110">
                  <c:v>0.233333333333333</c:v>
                </c:pt>
                <c:pt idx="111">
                  <c:v>0.333333333333333</c:v>
                </c:pt>
                <c:pt idx="112">
                  <c:v>0.384615384615385</c:v>
                </c:pt>
                <c:pt idx="113">
                  <c:v>0.4</c:v>
                </c:pt>
                <c:pt idx="114">
                  <c:v>0.352272727272727</c:v>
                </c:pt>
                <c:pt idx="115">
                  <c:v>0.490196078431372</c:v>
                </c:pt>
                <c:pt idx="116">
                  <c:v>0.367088607594937</c:v>
                </c:pt>
                <c:pt idx="117">
                  <c:v>0.347368421052632</c:v>
                </c:pt>
                <c:pt idx="118">
                  <c:v>0.342857142857143</c:v>
                </c:pt>
                <c:pt idx="119">
                  <c:v>0.352941176470588</c:v>
                </c:pt>
                <c:pt idx="120">
                  <c:v>0.363636363636364</c:v>
                </c:pt>
                <c:pt idx="121">
                  <c:v>0.314516129032258</c:v>
                </c:pt>
                <c:pt idx="122">
                  <c:v>0.382608695652174</c:v>
                </c:pt>
                <c:pt idx="123">
                  <c:v>0.337748344370861</c:v>
                </c:pt>
                <c:pt idx="124">
                  <c:v>0.40174672489083</c:v>
                </c:pt>
                <c:pt idx="125">
                  <c:v>0.356877323420074</c:v>
                </c:pt>
                <c:pt idx="126">
                  <c:v>0.35640648011782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24848"/>
        <c:axId val="2136430384"/>
      </c:scatterChart>
      <c:valAx>
        <c:axId val="213642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430384"/>
        <c:crosses val="autoZero"/>
        <c:crossBetween val="midCat"/>
      </c:valAx>
      <c:valAx>
        <c:axId val="2136430384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424848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'freq_each-cds'!$R$2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&lt;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0.0001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'freq_each-cds'!$O$3:$O$129</c:f>
              <c:numCache>
                <c:formatCode>General</c:formatCode>
                <c:ptCount val="1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'freq_each-cds'!$R$3:$R$129</c:f>
              <c:numCache>
                <c:formatCode>General</c:formatCode>
                <c:ptCount val="127"/>
                <c:pt idx="0">
                  <c:v>0.646942800788955</c:v>
                </c:pt>
                <c:pt idx="1">
                  <c:v>0.678756476683938</c:v>
                </c:pt>
                <c:pt idx="2">
                  <c:v>0.665060240963855</c:v>
                </c:pt>
                <c:pt idx="3">
                  <c:v>0.670025188916876</c:v>
                </c:pt>
                <c:pt idx="4">
                  <c:v>0.626916524701874</c:v>
                </c:pt>
                <c:pt idx="5">
                  <c:v>0.660091047040971</c:v>
                </c:pt>
                <c:pt idx="6">
                  <c:v>0.66270783847981</c:v>
                </c:pt>
                <c:pt idx="7">
                  <c:v>0.648293963254593</c:v>
                </c:pt>
                <c:pt idx="8">
                  <c:v>0.679334916864608</c:v>
                </c:pt>
                <c:pt idx="9">
                  <c:v>0.726384364820847</c:v>
                </c:pt>
                <c:pt idx="10">
                  <c:v>0.624454148471616</c:v>
                </c:pt>
                <c:pt idx="11">
                  <c:v>0.650793650793651</c:v>
                </c:pt>
                <c:pt idx="12">
                  <c:v>0.653631284916201</c:v>
                </c:pt>
                <c:pt idx="13">
                  <c:v>0.630057803468208</c:v>
                </c:pt>
                <c:pt idx="14">
                  <c:v>0.623456790123457</c:v>
                </c:pt>
                <c:pt idx="15">
                  <c:v>0.605442176870748</c:v>
                </c:pt>
                <c:pt idx="16">
                  <c:v>0.723577235772358</c:v>
                </c:pt>
                <c:pt idx="17">
                  <c:v>0.711340206185567</c:v>
                </c:pt>
                <c:pt idx="18">
                  <c:v>0.631578947368421</c:v>
                </c:pt>
                <c:pt idx="19">
                  <c:v>0.705263157894737</c:v>
                </c:pt>
                <c:pt idx="20">
                  <c:v>0.576470588235294</c:v>
                </c:pt>
                <c:pt idx="21">
                  <c:v>0.609756097560976</c:v>
                </c:pt>
                <c:pt idx="22">
                  <c:v>0.626506024096385</c:v>
                </c:pt>
                <c:pt idx="23">
                  <c:v>0.629213483146067</c:v>
                </c:pt>
                <c:pt idx="24">
                  <c:v>0.703703703703704</c:v>
                </c:pt>
                <c:pt idx="25">
                  <c:v>0.627450980392157</c:v>
                </c:pt>
                <c:pt idx="26">
                  <c:v>0.626506024096385</c:v>
                </c:pt>
                <c:pt idx="27">
                  <c:v>0.657534246575342</c:v>
                </c:pt>
                <c:pt idx="28">
                  <c:v>0.625</c:v>
                </c:pt>
                <c:pt idx="29">
                  <c:v>0.625</c:v>
                </c:pt>
                <c:pt idx="30">
                  <c:v>0.649350649350649</c:v>
                </c:pt>
                <c:pt idx="31">
                  <c:v>0.672131147540983</c:v>
                </c:pt>
                <c:pt idx="32">
                  <c:v>0.641509433962264</c:v>
                </c:pt>
                <c:pt idx="33">
                  <c:v>0.660377358490566</c:v>
                </c:pt>
                <c:pt idx="34">
                  <c:v>0.618181818181818</c:v>
                </c:pt>
                <c:pt idx="35">
                  <c:v>0.761194029850746</c:v>
                </c:pt>
                <c:pt idx="36">
                  <c:v>0.636363636363636</c:v>
                </c:pt>
                <c:pt idx="37">
                  <c:v>0.571428571428571</c:v>
                </c:pt>
                <c:pt idx="38">
                  <c:v>0.609375</c:v>
                </c:pt>
                <c:pt idx="39">
                  <c:v>0.622641509433962</c:v>
                </c:pt>
                <c:pt idx="40">
                  <c:v>0.612244897959184</c:v>
                </c:pt>
                <c:pt idx="41">
                  <c:v>0.596153846153846</c:v>
                </c:pt>
                <c:pt idx="42">
                  <c:v>0.7</c:v>
                </c:pt>
                <c:pt idx="43">
                  <c:v>0.685185185185185</c:v>
                </c:pt>
                <c:pt idx="44">
                  <c:v>0.549019607843137</c:v>
                </c:pt>
                <c:pt idx="45">
                  <c:v>0.58</c:v>
                </c:pt>
                <c:pt idx="46">
                  <c:v>0.5</c:v>
                </c:pt>
                <c:pt idx="47">
                  <c:v>0.631578947368421</c:v>
                </c:pt>
                <c:pt idx="48">
                  <c:v>0.576923076923077</c:v>
                </c:pt>
                <c:pt idx="49">
                  <c:v>0.630434782608696</c:v>
                </c:pt>
                <c:pt idx="50">
                  <c:v>0.628571428571428</c:v>
                </c:pt>
                <c:pt idx="51">
                  <c:v>0.611111111111111</c:v>
                </c:pt>
                <c:pt idx="52">
                  <c:v>0.684210526315789</c:v>
                </c:pt>
                <c:pt idx="53">
                  <c:v>0.607142857142857</c:v>
                </c:pt>
                <c:pt idx="54">
                  <c:v>0.615384615384615</c:v>
                </c:pt>
                <c:pt idx="55">
                  <c:v>0.627450980392157</c:v>
                </c:pt>
                <c:pt idx="56">
                  <c:v>0.567567567567568</c:v>
                </c:pt>
                <c:pt idx="57">
                  <c:v>0.58974358974359</c:v>
                </c:pt>
                <c:pt idx="58">
                  <c:v>0.6</c:v>
                </c:pt>
                <c:pt idx="59">
                  <c:v>0.575</c:v>
                </c:pt>
                <c:pt idx="60">
                  <c:v>0.447368421052632</c:v>
                </c:pt>
                <c:pt idx="61">
                  <c:v>0.51219512195122</c:v>
                </c:pt>
                <c:pt idx="62">
                  <c:v>0.630434782608696</c:v>
                </c:pt>
                <c:pt idx="63">
                  <c:v>0.591836734693878</c:v>
                </c:pt>
                <c:pt idx="64">
                  <c:v>0.531914893617021</c:v>
                </c:pt>
                <c:pt idx="65">
                  <c:v>0.421052631578947</c:v>
                </c:pt>
                <c:pt idx="66">
                  <c:v>0.523809523809524</c:v>
                </c:pt>
                <c:pt idx="67">
                  <c:v>0.558823529411765</c:v>
                </c:pt>
                <c:pt idx="68">
                  <c:v>0.586206896551724</c:v>
                </c:pt>
                <c:pt idx="69">
                  <c:v>0.5</c:v>
                </c:pt>
                <c:pt idx="70">
                  <c:v>0.483870967741935</c:v>
                </c:pt>
                <c:pt idx="71">
                  <c:v>0.513513513513513</c:v>
                </c:pt>
                <c:pt idx="72">
                  <c:v>0.5</c:v>
                </c:pt>
                <c:pt idx="73">
                  <c:v>0.725</c:v>
                </c:pt>
                <c:pt idx="74">
                  <c:v>0.583333333333333</c:v>
                </c:pt>
                <c:pt idx="75">
                  <c:v>0.46875</c:v>
                </c:pt>
                <c:pt idx="76">
                  <c:v>0.553191489361702</c:v>
                </c:pt>
                <c:pt idx="77">
                  <c:v>0.65</c:v>
                </c:pt>
                <c:pt idx="78">
                  <c:v>0.703703703703704</c:v>
                </c:pt>
                <c:pt idx="79">
                  <c:v>0.566666666666667</c:v>
                </c:pt>
                <c:pt idx="80">
                  <c:v>0.583333333333333</c:v>
                </c:pt>
                <c:pt idx="81">
                  <c:v>0.571428571428571</c:v>
                </c:pt>
                <c:pt idx="82">
                  <c:v>0.576923076923077</c:v>
                </c:pt>
                <c:pt idx="83">
                  <c:v>0.547619047619048</c:v>
                </c:pt>
                <c:pt idx="84">
                  <c:v>0.444444444444444</c:v>
                </c:pt>
                <c:pt idx="85">
                  <c:v>0.611111111111111</c:v>
                </c:pt>
                <c:pt idx="86">
                  <c:v>0.555555555555556</c:v>
                </c:pt>
                <c:pt idx="87">
                  <c:v>0.609756097560976</c:v>
                </c:pt>
                <c:pt idx="88">
                  <c:v>0.692307692307692</c:v>
                </c:pt>
                <c:pt idx="89">
                  <c:v>0.583333333333333</c:v>
                </c:pt>
                <c:pt idx="90">
                  <c:v>0.518518518518518</c:v>
                </c:pt>
                <c:pt idx="91">
                  <c:v>0.647058823529412</c:v>
                </c:pt>
                <c:pt idx="92">
                  <c:v>0.744186046511628</c:v>
                </c:pt>
                <c:pt idx="93">
                  <c:v>0.5</c:v>
                </c:pt>
                <c:pt idx="94">
                  <c:v>0.5</c:v>
                </c:pt>
                <c:pt idx="95">
                  <c:v>0.466666666666667</c:v>
                </c:pt>
                <c:pt idx="96">
                  <c:v>0.617021276595745</c:v>
                </c:pt>
                <c:pt idx="97">
                  <c:v>0.5</c:v>
                </c:pt>
                <c:pt idx="98">
                  <c:v>0.432432432432432</c:v>
                </c:pt>
                <c:pt idx="99">
                  <c:v>0.5</c:v>
                </c:pt>
                <c:pt idx="100">
                  <c:v>0.535714285714286</c:v>
                </c:pt>
                <c:pt idx="101">
                  <c:v>0.521739130434783</c:v>
                </c:pt>
                <c:pt idx="102">
                  <c:v>0.577777777777778</c:v>
                </c:pt>
                <c:pt idx="103">
                  <c:v>0.56</c:v>
                </c:pt>
                <c:pt idx="104">
                  <c:v>0.552631578947368</c:v>
                </c:pt>
                <c:pt idx="105">
                  <c:v>0.568181818181818</c:v>
                </c:pt>
                <c:pt idx="106">
                  <c:v>0.666666666666667</c:v>
                </c:pt>
                <c:pt idx="107">
                  <c:v>0.617647058823529</c:v>
                </c:pt>
                <c:pt idx="108">
                  <c:v>0.590909090909091</c:v>
                </c:pt>
                <c:pt idx="109">
                  <c:v>0.552631578947368</c:v>
                </c:pt>
                <c:pt idx="110">
                  <c:v>0.538461538461538</c:v>
                </c:pt>
                <c:pt idx="111">
                  <c:v>0.469387755102041</c:v>
                </c:pt>
                <c:pt idx="112">
                  <c:v>0.688888888888889</c:v>
                </c:pt>
                <c:pt idx="113">
                  <c:v>0.596153846153846</c:v>
                </c:pt>
                <c:pt idx="114">
                  <c:v>0.5</c:v>
                </c:pt>
                <c:pt idx="115">
                  <c:v>0.666666666666667</c:v>
                </c:pt>
                <c:pt idx="116">
                  <c:v>0.547169811320755</c:v>
                </c:pt>
                <c:pt idx="117">
                  <c:v>0.596491228070175</c:v>
                </c:pt>
                <c:pt idx="118">
                  <c:v>0.542372881355932</c:v>
                </c:pt>
                <c:pt idx="119">
                  <c:v>0.473684210526316</c:v>
                </c:pt>
                <c:pt idx="120">
                  <c:v>0.549019607843137</c:v>
                </c:pt>
                <c:pt idx="121">
                  <c:v>0.547945205479452</c:v>
                </c:pt>
                <c:pt idx="122">
                  <c:v>0.444444444444444</c:v>
                </c:pt>
                <c:pt idx="123">
                  <c:v>0.6875</c:v>
                </c:pt>
                <c:pt idx="124">
                  <c:v>0.560283687943262</c:v>
                </c:pt>
                <c:pt idx="125">
                  <c:v>0.517857142857143</c:v>
                </c:pt>
                <c:pt idx="126">
                  <c:v>0.572463768115942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'freq_each-cds'!$S$2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'freq_each-cds'!$O$3:$O$129</c:f>
              <c:numCache>
                <c:formatCode>General</c:formatCode>
                <c:ptCount val="1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'freq_each-cds'!$S$3:$S$129</c:f>
              <c:numCache>
                <c:formatCode>General</c:formatCode>
                <c:ptCount val="127"/>
                <c:pt idx="0">
                  <c:v>0.353057199211045</c:v>
                </c:pt>
                <c:pt idx="1">
                  <c:v>0.321243523316062</c:v>
                </c:pt>
                <c:pt idx="2">
                  <c:v>0.334939759036145</c:v>
                </c:pt>
                <c:pt idx="3">
                  <c:v>0.329974811083123</c:v>
                </c:pt>
                <c:pt idx="4">
                  <c:v>0.373083475298126</c:v>
                </c:pt>
                <c:pt idx="5">
                  <c:v>0.339908952959029</c:v>
                </c:pt>
                <c:pt idx="6">
                  <c:v>0.33729216152019</c:v>
                </c:pt>
                <c:pt idx="7">
                  <c:v>0.351706036745407</c:v>
                </c:pt>
                <c:pt idx="8">
                  <c:v>0.320665083135392</c:v>
                </c:pt>
                <c:pt idx="9">
                  <c:v>0.273615635179153</c:v>
                </c:pt>
                <c:pt idx="10">
                  <c:v>0.375545851528384</c:v>
                </c:pt>
                <c:pt idx="11">
                  <c:v>0.349206349206349</c:v>
                </c:pt>
                <c:pt idx="12">
                  <c:v>0.346368715083799</c:v>
                </c:pt>
                <c:pt idx="13">
                  <c:v>0.369942196531792</c:v>
                </c:pt>
                <c:pt idx="14">
                  <c:v>0.376543209876543</c:v>
                </c:pt>
                <c:pt idx="15">
                  <c:v>0.394557823129252</c:v>
                </c:pt>
                <c:pt idx="16">
                  <c:v>0.276422764227642</c:v>
                </c:pt>
                <c:pt idx="17">
                  <c:v>0.288659793814433</c:v>
                </c:pt>
                <c:pt idx="18">
                  <c:v>0.368421052631579</c:v>
                </c:pt>
                <c:pt idx="19">
                  <c:v>0.294736842105263</c:v>
                </c:pt>
                <c:pt idx="20">
                  <c:v>0.423529411764706</c:v>
                </c:pt>
                <c:pt idx="21">
                  <c:v>0.390243902439024</c:v>
                </c:pt>
                <c:pt idx="22">
                  <c:v>0.373493975903614</c:v>
                </c:pt>
                <c:pt idx="23">
                  <c:v>0.370786516853933</c:v>
                </c:pt>
                <c:pt idx="24">
                  <c:v>0.296296296296296</c:v>
                </c:pt>
                <c:pt idx="25">
                  <c:v>0.372549019607843</c:v>
                </c:pt>
                <c:pt idx="26">
                  <c:v>0.373493975903614</c:v>
                </c:pt>
                <c:pt idx="27">
                  <c:v>0.342465753424657</c:v>
                </c:pt>
                <c:pt idx="28">
                  <c:v>0.375</c:v>
                </c:pt>
                <c:pt idx="29">
                  <c:v>0.375</c:v>
                </c:pt>
                <c:pt idx="30">
                  <c:v>0.350649350649351</c:v>
                </c:pt>
                <c:pt idx="31">
                  <c:v>0.327868852459016</c:v>
                </c:pt>
                <c:pt idx="32">
                  <c:v>0.358490566037736</c:v>
                </c:pt>
                <c:pt idx="33">
                  <c:v>0.339622641509434</c:v>
                </c:pt>
                <c:pt idx="34">
                  <c:v>0.381818181818182</c:v>
                </c:pt>
                <c:pt idx="35">
                  <c:v>0.238805970149254</c:v>
                </c:pt>
                <c:pt idx="36">
                  <c:v>0.363636363636364</c:v>
                </c:pt>
                <c:pt idx="37">
                  <c:v>0.428571428571429</c:v>
                </c:pt>
                <c:pt idx="38">
                  <c:v>0.390625</c:v>
                </c:pt>
                <c:pt idx="39">
                  <c:v>0.377358490566038</c:v>
                </c:pt>
                <c:pt idx="40">
                  <c:v>0.387755102040816</c:v>
                </c:pt>
                <c:pt idx="41">
                  <c:v>0.403846153846154</c:v>
                </c:pt>
                <c:pt idx="42">
                  <c:v>0.3</c:v>
                </c:pt>
                <c:pt idx="43">
                  <c:v>0.314814814814815</c:v>
                </c:pt>
                <c:pt idx="44">
                  <c:v>0.450980392156863</c:v>
                </c:pt>
                <c:pt idx="45">
                  <c:v>0.42</c:v>
                </c:pt>
                <c:pt idx="46">
                  <c:v>0.5</c:v>
                </c:pt>
                <c:pt idx="47">
                  <c:v>0.368421052631579</c:v>
                </c:pt>
                <c:pt idx="48">
                  <c:v>0.423076923076923</c:v>
                </c:pt>
                <c:pt idx="49">
                  <c:v>0.369565217391304</c:v>
                </c:pt>
                <c:pt idx="50">
                  <c:v>0.371428571428571</c:v>
                </c:pt>
                <c:pt idx="51">
                  <c:v>0.388888888888889</c:v>
                </c:pt>
                <c:pt idx="52">
                  <c:v>0.31578947368421</c:v>
                </c:pt>
                <c:pt idx="53">
                  <c:v>0.392857142857143</c:v>
                </c:pt>
                <c:pt idx="54">
                  <c:v>0.384615384615385</c:v>
                </c:pt>
                <c:pt idx="55">
                  <c:v>0.372549019607843</c:v>
                </c:pt>
                <c:pt idx="56">
                  <c:v>0.432432432432432</c:v>
                </c:pt>
                <c:pt idx="57">
                  <c:v>0.41025641025641</c:v>
                </c:pt>
                <c:pt idx="58">
                  <c:v>0.4</c:v>
                </c:pt>
                <c:pt idx="59">
                  <c:v>0.425</c:v>
                </c:pt>
                <c:pt idx="60">
                  <c:v>0.552631578947368</c:v>
                </c:pt>
                <c:pt idx="61">
                  <c:v>0.48780487804878</c:v>
                </c:pt>
                <c:pt idx="62">
                  <c:v>0.369565217391304</c:v>
                </c:pt>
                <c:pt idx="63">
                  <c:v>0.408163265306122</c:v>
                </c:pt>
                <c:pt idx="64">
                  <c:v>0.468085106382979</c:v>
                </c:pt>
                <c:pt idx="65">
                  <c:v>0.578947368421053</c:v>
                </c:pt>
                <c:pt idx="66">
                  <c:v>0.476190476190476</c:v>
                </c:pt>
                <c:pt idx="67">
                  <c:v>0.441176470588235</c:v>
                </c:pt>
                <c:pt idx="68">
                  <c:v>0.413793103448276</c:v>
                </c:pt>
                <c:pt idx="69">
                  <c:v>0.5</c:v>
                </c:pt>
                <c:pt idx="70">
                  <c:v>0.516129032258064</c:v>
                </c:pt>
                <c:pt idx="71">
                  <c:v>0.486486486486486</c:v>
                </c:pt>
                <c:pt idx="72">
                  <c:v>0.5</c:v>
                </c:pt>
                <c:pt idx="73">
                  <c:v>0.275</c:v>
                </c:pt>
                <c:pt idx="74">
                  <c:v>0.416666666666667</c:v>
                </c:pt>
                <c:pt idx="75">
                  <c:v>0.53125</c:v>
                </c:pt>
                <c:pt idx="76">
                  <c:v>0.446808510638298</c:v>
                </c:pt>
                <c:pt idx="77">
                  <c:v>0.35</c:v>
                </c:pt>
                <c:pt idx="78">
                  <c:v>0.296296296296296</c:v>
                </c:pt>
                <c:pt idx="79">
                  <c:v>0.433333333333333</c:v>
                </c:pt>
                <c:pt idx="80">
                  <c:v>0.416666666666667</c:v>
                </c:pt>
                <c:pt idx="81">
                  <c:v>0.428571428571429</c:v>
                </c:pt>
                <c:pt idx="82">
                  <c:v>0.423076923076923</c:v>
                </c:pt>
                <c:pt idx="83">
                  <c:v>0.452380952380952</c:v>
                </c:pt>
                <c:pt idx="84">
                  <c:v>0.555555555555556</c:v>
                </c:pt>
                <c:pt idx="85">
                  <c:v>0.388888888888889</c:v>
                </c:pt>
                <c:pt idx="86">
                  <c:v>0.444444444444444</c:v>
                </c:pt>
                <c:pt idx="87">
                  <c:v>0.390243902439024</c:v>
                </c:pt>
                <c:pt idx="88">
                  <c:v>0.307692307692308</c:v>
                </c:pt>
                <c:pt idx="89">
                  <c:v>0.416666666666667</c:v>
                </c:pt>
                <c:pt idx="90">
                  <c:v>0.481481481481481</c:v>
                </c:pt>
                <c:pt idx="91">
                  <c:v>0.352941176470588</c:v>
                </c:pt>
                <c:pt idx="92">
                  <c:v>0.255813953488372</c:v>
                </c:pt>
                <c:pt idx="93">
                  <c:v>0.5</c:v>
                </c:pt>
                <c:pt idx="94">
                  <c:v>0.5</c:v>
                </c:pt>
                <c:pt idx="95">
                  <c:v>0.533333333333333</c:v>
                </c:pt>
                <c:pt idx="96">
                  <c:v>0.382978723404255</c:v>
                </c:pt>
                <c:pt idx="97">
                  <c:v>0.5</c:v>
                </c:pt>
                <c:pt idx="98">
                  <c:v>0.567567567567568</c:v>
                </c:pt>
                <c:pt idx="99">
                  <c:v>0.5</c:v>
                </c:pt>
                <c:pt idx="100">
                  <c:v>0.464285714285714</c:v>
                </c:pt>
                <c:pt idx="101">
                  <c:v>0.478260869565217</c:v>
                </c:pt>
                <c:pt idx="102">
                  <c:v>0.422222222222222</c:v>
                </c:pt>
                <c:pt idx="103">
                  <c:v>0.44</c:v>
                </c:pt>
                <c:pt idx="104">
                  <c:v>0.447368421052632</c:v>
                </c:pt>
                <c:pt idx="105">
                  <c:v>0.431818181818182</c:v>
                </c:pt>
                <c:pt idx="106">
                  <c:v>0.333333333333333</c:v>
                </c:pt>
                <c:pt idx="107">
                  <c:v>0.382352941176471</c:v>
                </c:pt>
                <c:pt idx="108">
                  <c:v>0.409090909090909</c:v>
                </c:pt>
                <c:pt idx="109">
                  <c:v>0.447368421052632</c:v>
                </c:pt>
                <c:pt idx="110">
                  <c:v>0.461538461538462</c:v>
                </c:pt>
                <c:pt idx="111">
                  <c:v>0.530612244897959</c:v>
                </c:pt>
                <c:pt idx="112">
                  <c:v>0.311111111111111</c:v>
                </c:pt>
                <c:pt idx="113">
                  <c:v>0.403846153846154</c:v>
                </c:pt>
                <c:pt idx="114">
                  <c:v>0.5</c:v>
                </c:pt>
                <c:pt idx="115">
                  <c:v>0.333333333333333</c:v>
                </c:pt>
                <c:pt idx="116">
                  <c:v>0.452830188679245</c:v>
                </c:pt>
                <c:pt idx="117">
                  <c:v>0.403508771929825</c:v>
                </c:pt>
                <c:pt idx="118">
                  <c:v>0.457627118644068</c:v>
                </c:pt>
                <c:pt idx="119">
                  <c:v>0.526315789473684</c:v>
                </c:pt>
                <c:pt idx="120">
                  <c:v>0.450980392156863</c:v>
                </c:pt>
                <c:pt idx="121">
                  <c:v>0.452054794520548</c:v>
                </c:pt>
                <c:pt idx="122">
                  <c:v>0.555555555555556</c:v>
                </c:pt>
                <c:pt idx="123">
                  <c:v>0.3125</c:v>
                </c:pt>
                <c:pt idx="124">
                  <c:v>0.439716312056738</c:v>
                </c:pt>
                <c:pt idx="125">
                  <c:v>0.482142857142857</c:v>
                </c:pt>
                <c:pt idx="126">
                  <c:v>0.427536231884058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02816"/>
        <c:axId val="2136508352"/>
      </c:scatterChart>
      <c:valAx>
        <c:axId val="2136502816"/>
        <c:scaling>
          <c:orientation val="minMax"/>
          <c:max val="14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508352"/>
        <c:crosses val="autoZero"/>
        <c:crossBetween val="midCat"/>
        <c:majorUnit val="20.0"/>
      </c:valAx>
      <c:valAx>
        <c:axId val="213650835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502816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'freq_each-utr'!$P$2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</a:t>
                    </a:r>
                    <a:r>
                      <a:rPr lang="en-US" altLang="zh-CN" sz="1200" baseline="0"/>
                      <a:t>.20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0.0237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'freq_each-utr'!$P$3:$P$132</c:f>
              <c:numCache>
                <c:formatCode>General</c:formatCode>
                <c:ptCount val="130"/>
                <c:pt idx="0">
                  <c:v>0.515845070422535</c:v>
                </c:pt>
                <c:pt idx="1">
                  <c:v>0.475113122171946</c:v>
                </c:pt>
                <c:pt idx="2">
                  <c:v>0.504950495049505</c:v>
                </c:pt>
                <c:pt idx="3">
                  <c:v>0.542372881355932</c:v>
                </c:pt>
                <c:pt idx="4">
                  <c:v>0.465346534653465</c:v>
                </c:pt>
                <c:pt idx="5">
                  <c:v>0.573033707865168</c:v>
                </c:pt>
                <c:pt idx="6">
                  <c:v>0.476190476190476</c:v>
                </c:pt>
                <c:pt idx="7">
                  <c:v>0.507692307692308</c:v>
                </c:pt>
                <c:pt idx="8">
                  <c:v>0.594594594594595</c:v>
                </c:pt>
                <c:pt idx="9">
                  <c:v>0.483333333333333</c:v>
                </c:pt>
                <c:pt idx="10">
                  <c:v>0.459459459459459</c:v>
                </c:pt>
                <c:pt idx="11">
                  <c:v>0.619047619047619</c:v>
                </c:pt>
                <c:pt idx="12">
                  <c:v>0.413793103448276</c:v>
                </c:pt>
                <c:pt idx="13">
                  <c:v>0.470588235294118</c:v>
                </c:pt>
                <c:pt idx="14">
                  <c:v>0.321428571428571</c:v>
                </c:pt>
                <c:pt idx="15">
                  <c:v>0.5</c:v>
                </c:pt>
                <c:pt idx="16">
                  <c:v>0.65</c:v>
                </c:pt>
                <c:pt idx="17">
                  <c:v>0.272727272727273</c:v>
                </c:pt>
                <c:pt idx="18">
                  <c:v>0.565217391304348</c:v>
                </c:pt>
                <c:pt idx="19">
                  <c:v>0.545454545454545</c:v>
                </c:pt>
                <c:pt idx="20">
                  <c:v>0.588235294117647</c:v>
                </c:pt>
                <c:pt idx="21">
                  <c:v>0.428571428571429</c:v>
                </c:pt>
                <c:pt idx="22">
                  <c:v>0.555555555555556</c:v>
                </c:pt>
                <c:pt idx="23">
                  <c:v>0.5</c:v>
                </c:pt>
                <c:pt idx="24">
                  <c:v>0.5625</c:v>
                </c:pt>
                <c:pt idx="25">
                  <c:v>0.384615384615385</c:v>
                </c:pt>
                <c:pt idx="26">
                  <c:v>0.714285714285714</c:v>
                </c:pt>
                <c:pt idx="27">
                  <c:v>0.5</c:v>
                </c:pt>
                <c:pt idx="28">
                  <c:v>0.6</c:v>
                </c:pt>
                <c:pt idx="29">
                  <c:v>0.533333333333333</c:v>
                </c:pt>
                <c:pt idx="30">
                  <c:v>0.5</c:v>
                </c:pt>
                <c:pt idx="31">
                  <c:v>0.2</c:v>
                </c:pt>
                <c:pt idx="32">
                  <c:v>0.454545454545454</c:v>
                </c:pt>
                <c:pt idx="33">
                  <c:v>0.5</c:v>
                </c:pt>
                <c:pt idx="34">
                  <c:v>0.578947368421053</c:v>
                </c:pt>
                <c:pt idx="35">
                  <c:v>0.625</c:v>
                </c:pt>
                <c:pt idx="36">
                  <c:v>0.285714285714286</c:v>
                </c:pt>
                <c:pt idx="37">
                  <c:v>0.555555555555556</c:v>
                </c:pt>
                <c:pt idx="38">
                  <c:v>0.461538461538462</c:v>
                </c:pt>
                <c:pt idx="39">
                  <c:v>0.5</c:v>
                </c:pt>
                <c:pt idx="40">
                  <c:v>0.571428571428571</c:v>
                </c:pt>
                <c:pt idx="41">
                  <c:v>0.625</c:v>
                </c:pt>
                <c:pt idx="42">
                  <c:v>0.538461538461538</c:v>
                </c:pt>
                <c:pt idx="43">
                  <c:v>0.428571428571429</c:v>
                </c:pt>
                <c:pt idx="44">
                  <c:v>0.363636363636364</c:v>
                </c:pt>
                <c:pt idx="45">
                  <c:v>0.6</c:v>
                </c:pt>
                <c:pt idx="46">
                  <c:v>0.666666666666667</c:v>
                </c:pt>
                <c:pt idx="47">
                  <c:v>0.888888888888889</c:v>
                </c:pt>
                <c:pt idx="48">
                  <c:v>0.625</c:v>
                </c:pt>
                <c:pt idx="49">
                  <c:v>0.4</c:v>
                </c:pt>
                <c:pt idx="50">
                  <c:v>0.875</c:v>
                </c:pt>
                <c:pt idx="51">
                  <c:v>0.428571428571429</c:v>
                </c:pt>
                <c:pt idx="52">
                  <c:v>0.571428571428571</c:v>
                </c:pt>
                <c:pt idx="53">
                  <c:v>0.692307692307692</c:v>
                </c:pt>
                <c:pt idx="54">
                  <c:v>0.454545454545454</c:v>
                </c:pt>
                <c:pt idx="55">
                  <c:v>0.5</c:v>
                </c:pt>
                <c:pt idx="56">
                  <c:v>0.375</c:v>
                </c:pt>
                <c:pt idx="57">
                  <c:v>0.5</c:v>
                </c:pt>
                <c:pt idx="58">
                  <c:v>0.833333333333333</c:v>
                </c:pt>
                <c:pt idx="59">
                  <c:v>0.222222222222222</c:v>
                </c:pt>
                <c:pt idx="60">
                  <c:v>0.555555555555556</c:v>
                </c:pt>
                <c:pt idx="61">
                  <c:v>0.5</c:v>
                </c:pt>
                <c:pt idx="62">
                  <c:v>0.333333333333333</c:v>
                </c:pt>
                <c:pt idx="63">
                  <c:v>0.333333333333333</c:v>
                </c:pt>
                <c:pt idx="64">
                  <c:v>0.571428571428571</c:v>
                </c:pt>
                <c:pt idx="65">
                  <c:v>0.8</c:v>
                </c:pt>
                <c:pt idx="66">
                  <c:v>0.555555555555556</c:v>
                </c:pt>
                <c:pt idx="67">
                  <c:v>0.0</c:v>
                </c:pt>
                <c:pt idx="68">
                  <c:v>0.25</c:v>
                </c:pt>
                <c:pt idx="69">
                  <c:v>0.5</c:v>
                </c:pt>
                <c:pt idx="70">
                  <c:v>0.4</c:v>
                </c:pt>
                <c:pt idx="71">
                  <c:v>0.571428571428571</c:v>
                </c:pt>
                <c:pt idx="72">
                  <c:v>0.5</c:v>
                </c:pt>
                <c:pt idx="73">
                  <c:v>0.375</c:v>
                </c:pt>
                <c:pt idx="74">
                  <c:v>0.8</c:v>
                </c:pt>
                <c:pt idx="75">
                  <c:v>0.5</c:v>
                </c:pt>
                <c:pt idx="76">
                  <c:v>0.666666666666667</c:v>
                </c:pt>
                <c:pt idx="77">
                  <c:v>0.714285714285714</c:v>
                </c:pt>
                <c:pt idx="78">
                  <c:v>0.75</c:v>
                </c:pt>
                <c:pt idx="79">
                  <c:v>0.333333333333333</c:v>
                </c:pt>
                <c:pt idx="80">
                  <c:v>0.5</c:v>
                </c:pt>
                <c:pt idx="81">
                  <c:v>1.0</c:v>
                </c:pt>
                <c:pt idx="82">
                  <c:v>0.4</c:v>
                </c:pt>
                <c:pt idx="83">
                  <c:v>0.363636363636364</c:v>
                </c:pt>
                <c:pt idx="84">
                  <c:v>0.333333333333333</c:v>
                </c:pt>
                <c:pt idx="85">
                  <c:v>0.4</c:v>
                </c:pt>
                <c:pt idx="86">
                  <c:v>0.625</c:v>
                </c:pt>
                <c:pt idx="87">
                  <c:v>0.4</c:v>
                </c:pt>
                <c:pt idx="88">
                  <c:v>0.5</c:v>
                </c:pt>
                <c:pt idx="89">
                  <c:v>0.666666666666667</c:v>
                </c:pt>
                <c:pt idx="90">
                  <c:v>0.666666666666667</c:v>
                </c:pt>
                <c:pt idx="91">
                  <c:v>0.8</c:v>
                </c:pt>
                <c:pt idx="92">
                  <c:v>0.714285714285714</c:v>
                </c:pt>
                <c:pt idx="93">
                  <c:v>0.692307692307692</c:v>
                </c:pt>
                <c:pt idx="94">
                  <c:v>0.0</c:v>
                </c:pt>
                <c:pt idx="95">
                  <c:v>0.555555555555556</c:v>
                </c:pt>
                <c:pt idx="96">
                  <c:v>0.5</c:v>
                </c:pt>
                <c:pt idx="97">
                  <c:v>0.7</c:v>
                </c:pt>
                <c:pt idx="98">
                  <c:v>0.666666666666667</c:v>
                </c:pt>
                <c:pt idx="99">
                  <c:v>0.5</c:v>
                </c:pt>
                <c:pt idx="100">
                  <c:v>0.8</c:v>
                </c:pt>
                <c:pt idx="101">
                  <c:v>0.5625</c:v>
                </c:pt>
                <c:pt idx="102">
                  <c:v>0.5</c:v>
                </c:pt>
                <c:pt idx="103">
                  <c:v>0.6</c:v>
                </c:pt>
                <c:pt idx="104">
                  <c:v>0.8</c:v>
                </c:pt>
                <c:pt idx="105">
                  <c:v>0.0</c:v>
                </c:pt>
                <c:pt idx="106">
                  <c:v>0.5</c:v>
                </c:pt>
                <c:pt idx="107">
                  <c:v>0.8</c:v>
                </c:pt>
                <c:pt idx="108">
                  <c:v>0.777777777777778</c:v>
                </c:pt>
                <c:pt idx="109">
                  <c:v>0.6</c:v>
                </c:pt>
                <c:pt idx="110">
                  <c:v>0.75</c:v>
                </c:pt>
                <c:pt idx="111">
                  <c:v>0.75</c:v>
                </c:pt>
                <c:pt idx="112">
                  <c:v>0.625</c:v>
                </c:pt>
                <c:pt idx="113">
                  <c:v>0.454545454545454</c:v>
                </c:pt>
                <c:pt idx="114">
                  <c:v>0.25</c:v>
                </c:pt>
                <c:pt idx="115">
                  <c:v>0.5</c:v>
                </c:pt>
                <c:pt idx="116">
                  <c:v>0.666666666666667</c:v>
                </c:pt>
                <c:pt idx="117">
                  <c:v>0.4375</c:v>
                </c:pt>
                <c:pt idx="118">
                  <c:v>0.576923076923077</c:v>
                </c:pt>
                <c:pt idx="119">
                  <c:v>0.75</c:v>
                </c:pt>
                <c:pt idx="120">
                  <c:v>0.454545454545454</c:v>
                </c:pt>
                <c:pt idx="121">
                  <c:v>0.692307692307692</c:v>
                </c:pt>
                <c:pt idx="122">
                  <c:v>0.777777777777778</c:v>
                </c:pt>
                <c:pt idx="123">
                  <c:v>0.809523809523809</c:v>
                </c:pt>
                <c:pt idx="124">
                  <c:v>0.787878787878788</c:v>
                </c:pt>
                <c:pt idx="125">
                  <c:v>0.486486486486486</c:v>
                </c:pt>
                <c:pt idx="126">
                  <c:v>0.517241379310345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'freq_each-utr'!$Q$2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984156718313"/>
                  <c:y val="0.168341293403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-0.20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0.0237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'freq_each-utr'!$Q$3:$Q$132</c:f>
              <c:numCache>
                <c:formatCode>General</c:formatCode>
                <c:ptCount val="130"/>
                <c:pt idx="0">
                  <c:v>0.484154929577465</c:v>
                </c:pt>
                <c:pt idx="1">
                  <c:v>0.524886877828054</c:v>
                </c:pt>
                <c:pt idx="2">
                  <c:v>0.495049504950495</c:v>
                </c:pt>
                <c:pt idx="3">
                  <c:v>0.457627118644068</c:v>
                </c:pt>
                <c:pt idx="4">
                  <c:v>0.534653465346535</c:v>
                </c:pt>
                <c:pt idx="5">
                  <c:v>0.426966292134831</c:v>
                </c:pt>
                <c:pt idx="6">
                  <c:v>0.523809523809524</c:v>
                </c:pt>
                <c:pt idx="7">
                  <c:v>0.492307692307692</c:v>
                </c:pt>
                <c:pt idx="8">
                  <c:v>0.405405405405405</c:v>
                </c:pt>
                <c:pt idx="9">
                  <c:v>0.516666666666667</c:v>
                </c:pt>
                <c:pt idx="10">
                  <c:v>0.540540540540541</c:v>
                </c:pt>
                <c:pt idx="11">
                  <c:v>0.380952380952381</c:v>
                </c:pt>
                <c:pt idx="12">
                  <c:v>0.586206896551724</c:v>
                </c:pt>
                <c:pt idx="13">
                  <c:v>0.529411764705882</c:v>
                </c:pt>
                <c:pt idx="14">
                  <c:v>0.678571428571429</c:v>
                </c:pt>
                <c:pt idx="15">
                  <c:v>0.5</c:v>
                </c:pt>
                <c:pt idx="16">
                  <c:v>0.35</c:v>
                </c:pt>
                <c:pt idx="17">
                  <c:v>0.727272727272727</c:v>
                </c:pt>
                <c:pt idx="18">
                  <c:v>0.434782608695652</c:v>
                </c:pt>
                <c:pt idx="19">
                  <c:v>0.454545454545454</c:v>
                </c:pt>
                <c:pt idx="20">
                  <c:v>0.411764705882353</c:v>
                </c:pt>
                <c:pt idx="21">
                  <c:v>0.571428571428571</c:v>
                </c:pt>
                <c:pt idx="22">
                  <c:v>0.444444444444444</c:v>
                </c:pt>
                <c:pt idx="23">
                  <c:v>0.5</c:v>
                </c:pt>
                <c:pt idx="24">
                  <c:v>0.4375</c:v>
                </c:pt>
                <c:pt idx="25">
                  <c:v>0.615384615384615</c:v>
                </c:pt>
                <c:pt idx="26">
                  <c:v>0.285714285714286</c:v>
                </c:pt>
                <c:pt idx="27">
                  <c:v>0.5</c:v>
                </c:pt>
                <c:pt idx="28">
                  <c:v>0.4</c:v>
                </c:pt>
                <c:pt idx="29">
                  <c:v>0.466666666666667</c:v>
                </c:pt>
                <c:pt idx="30">
                  <c:v>0.5</c:v>
                </c:pt>
                <c:pt idx="31">
                  <c:v>0.8</c:v>
                </c:pt>
                <c:pt idx="32">
                  <c:v>0.545454545454545</c:v>
                </c:pt>
                <c:pt idx="33">
                  <c:v>0.5</c:v>
                </c:pt>
                <c:pt idx="34">
                  <c:v>0.421052631578947</c:v>
                </c:pt>
                <c:pt idx="35">
                  <c:v>0.375</c:v>
                </c:pt>
                <c:pt idx="36">
                  <c:v>0.714285714285714</c:v>
                </c:pt>
                <c:pt idx="37">
                  <c:v>0.444444444444444</c:v>
                </c:pt>
                <c:pt idx="38">
                  <c:v>0.538461538461538</c:v>
                </c:pt>
                <c:pt idx="39">
                  <c:v>0.5</c:v>
                </c:pt>
                <c:pt idx="40">
                  <c:v>0.428571428571429</c:v>
                </c:pt>
                <c:pt idx="41">
                  <c:v>0.375</c:v>
                </c:pt>
                <c:pt idx="42">
                  <c:v>0.461538461538462</c:v>
                </c:pt>
                <c:pt idx="43">
                  <c:v>0.571428571428571</c:v>
                </c:pt>
                <c:pt idx="44">
                  <c:v>0.636363636363636</c:v>
                </c:pt>
                <c:pt idx="45">
                  <c:v>0.4</c:v>
                </c:pt>
                <c:pt idx="46">
                  <c:v>0.333333333333333</c:v>
                </c:pt>
                <c:pt idx="47">
                  <c:v>0.111111111111111</c:v>
                </c:pt>
                <c:pt idx="48">
                  <c:v>0.375</c:v>
                </c:pt>
                <c:pt idx="49">
                  <c:v>0.6</c:v>
                </c:pt>
                <c:pt idx="50">
                  <c:v>0.125</c:v>
                </c:pt>
                <c:pt idx="51">
                  <c:v>0.571428571428571</c:v>
                </c:pt>
                <c:pt idx="52">
                  <c:v>0.428571428571429</c:v>
                </c:pt>
                <c:pt idx="53">
                  <c:v>0.307692307692308</c:v>
                </c:pt>
                <c:pt idx="54">
                  <c:v>0.545454545454545</c:v>
                </c:pt>
                <c:pt idx="55">
                  <c:v>0.5</c:v>
                </c:pt>
                <c:pt idx="56">
                  <c:v>0.625</c:v>
                </c:pt>
                <c:pt idx="57">
                  <c:v>0.5</c:v>
                </c:pt>
                <c:pt idx="58">
                  <c:v>0.166666666666667</c:v>
                </c:pt>
                <c:pt idx="59">
                  <c:v>0.777777777777778</c:v>
                </c:pt>
                <c:pt idx="60">
                  <c:v>0.444444444444444</c:v>
                </c:pt>
                <c:pt idx="61">
                  <c:v>0.5</c:v>
                </c:pt>
                <c:pt idx="62">
                  <c:v>0.666666666666667</c:v>
                </c:pt>
                <c:pt idx="63">
                  <c:v>0.666666666666667</c:v>
                </c:pt>
                <c:pt idx="64">
                  <c:v>0.428571428571429</c:v>
                </c:pt>
                <c:pt idx="65">
                  <c:v>0.2</c:v>
                </c:pt>
                <c:pt idx="66">
                  <c:v>0.444444444444444</c:v>
                </c:pt>
                <c:pt idx="67">
                  <c:v>1.0</c:v>
                </c:pt>
                <c:pt idx="68">
                  <c:v>0.75</c:v>
                </c:pt>
                <c:pt idx="69">
                  <c:v>0.5</c:v>
                </c:pt>
                <c:pt idx="70">
                  <c:v>0.6</c:v>
                </c:pt>
                <c:pt idx="71">
                  <c:v>0.428571428571429</c:v>
                </c:pt>
                <c:pt idx="72">
                  <c:v>0.5</c:v>
                </c:pt>
                <c:pt idx="73">
                  <c:v>0.625</c:v>
                </c:pt>
                <c:pt idx="74">
                  <c:v>0.2</c:v>
                </c:pt>
                <c:pt idx="75">
                  <c:v>0.5</c:v>
                </c:pt>
                <c:pt idx="76">
                  <c:v>0.333333333333333</c:v>
                </c:pt>
                <c:pt idx="77">
                  <c:v>0.285714285714286</c:v>
                </c:pt>
                <c:pt idx="78">
                  <c:v>0.25</c:v>
                </c:pt>
                <c:pt idx="79">
                  <c:v>0.666666666666667</c:v>
                </c:pt>
                <c:pt idx="80">
                  <c:v>0.5</c:v>
                </c:pt>
                <c:pt idx="81">
                  <c:v>0.0</c:v>
                </c:pt>
                <c:pt idx="82">
                  <c:v>0.6</c:v>
                </c:pt>
                <c:pt idx="83">
                  <c:v>0.636363636363636</c:v>
                </c:pt>
                <c:pt idx="84">
                  <c:v>0.666666666666667</c:v>
                </c:pt>
                <c:pt idx="85">
                  <c:v>0.6</c:v>
                </c:pt>
                <c:pt idx="86">
                  <c:v>0.375</c:v>
                </c:pt>
                <c:pt idx="87">
                  <c:v>0.6</c:v>
                </c:pt>
                <c:pt idx="88">
                  <c:v>0.5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0.2</c:v>
                </c:pt>
                <c:pt idx="92">
                  <c:v>0.285714285714286</c:v>
                </c:pt>
                <c:pt idx="93">
                  <c:v>0.307692307692308</c:v>
                </c:pt>
                <c:pt idx="94">
                  <c:v>1.0</c:v>
                </c:pt>
                <c:pt idx="95">
                  <c:v>0.444444444444444</c:v>
                </c:pt>
                <c:pt idx="96">
                  <c:v>0.5</c:v>
                </c:pt>
                <c:pt idx="97">
                  <c:v>0.3</c:v>
                </c:pt>
                <c:pt idx="98">
                  <c:v>0.333333333333333</c:v>
                </c:pt>
                <c:pt idx="99">
                  <c:v>0.5</c:v>
                </c:pt>
                <c:pt idx="100">
                  <c:v>0.2</c:v>
                </c:pt>
                <c:pt idx="101">
                  <c:v>0.4375</c:v>
                </c:pt>
                <c:pt idx="102">
                  <c:v>0.5</c:v>
                </c:pt>
                <c:pt idx="103">
                  <c:v>0.4</c:v>
                </c:pt>
                <c:pt idx="104">
                  <c:v>0.2</c:v>
                </c:pt>
                <c:pt idx="105">
                  <c:v>1.0</c:v>
                </c:pt>
                <c:pt idx="106">
                  <c:v>0.5</c:v>
                </c:pt>
                <c:pt idx="107">
                  <c:v>0.2</c:v>
                </c:pt>
                <c:pt idx="108">
                  <c:v>0.222222222222222</c:v>
                </c:pt>
                <c:pt idx="109">
                  <c:v>0.4</c:v>
                </c:pt>
                <c:pt idx="110">
                  <c:v>0.25</c:v>
                </c:pt>
                <c:pt idx="111">
                  <c:v>0.25</c:v>
                </c:pt>
                <c:pt idx="112">
                  <c:v>0.375</c:v>
                </c:pt>
                <c:pt idx="113">
                  <c:v>0.545454545454545</c:v>
                </c:pt>
                <c:pt idx="114">
                  <c:v>0.75</c:v>
                </c:pt>
                <c:pt idx="115">
                  <c:v>0.5</c:v>
                </c:pt>
                <c:pt idx="116">
                  <c:v>0.333333333333333</c:v>
                </c:pt>
                <c:pt idx="117">
                  <c:v>0.5625</c:v>
                </c:pt>
                <c:pt idx="118">
                  <c:v>0.423076923076923</c:v>
                </c:pt>
                <c:pt idx="119">
                  <c:v>0.25</c:v>
                </c:pt>
                <c:pt idx="120">
                  <c:v>0.545454545454545</c:v>
                </c:pt>
                <c:pt idx="121">
                  <c:v>0.307692307692308</c:v>
                </c:pt>
                <c:pt idx="122">
                  <c:v>0.222222222222222</c:v>
                </c:pt>
                <c:pt idx="123">
                  <c:v>0.19047619047619</c:v>
                </c:pt>
                <c:pt idx="124">
                  <c:v>0.212121212121212</c:v>
                </c:pt>
                <c:pt idx="125">
                  <c:v>0.513513513513513</c:v>
                </c:pt>
                <c:pt idx="126">
                  <c:v>0.482758620689655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50928"/>
        <c:axId val="-2138845392"/>
      </c:scatterChart>
      <c:valAx>
        <c:axId val="-21388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8845392"/>
        <c:crosses val="autoZero"/>
        <c:crossBetween val="midCat"/>
      </c:valAx>
      <c:valAx>
        <c:axId val="-213884539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8850928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'freq_each-utr'!$R$2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855124460249"/>
                  <c:y val="-0.249456563831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-0.13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0.1307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'freq_each-utr'!$R$3:$R$132</c:f>
              <c:numCache>
                <c:formatCode>General</c:formatCode>
                <c:ptCount val="130"/>
                <c:pt idx="0">
                  <c:v>0.587962962962963</c:v>
                </c:pt>
                <c:pt idx="1">
                  <c:v>0.681818181818182</c:v>
                </c:pt>
                <c:pt idx="2">
                  <c:v>0.692857142857143</c:v>
                </c:pt>
                <c:pt idx="3">
                  <c:v>0.644444444444444</c:v>
                </c:pt>
                <c:pt idx="4">
                  <c:v>0.6125</c:v>
                </c:pt>
                <c:pt idx="5">
                  <c:v>0.617647058823529</c:v>
                </c:pt>
                <c:pt idx="6">
                  <c:v>0.642857142857143</c:v>
                </c:pt>
                <c:pt idx="7">
                  <c:v>0.594594594594595</c:v>
                </c:pt>
                <c:pt idx="8">
                  <c:v>0.648148148148148</c:v>
                </c:pt>
                <c:pt idx="9">
                  <c:v>0.686274509803921</c:v>
                </c:pt>
                <c:pt idx="10">
                  <c:v>0.576923076923077</c:v>
                </c:pt>
                <c:pt idx="11">
                  <c:v>0.76</c:v>
                </c:pt>
                <c:pt idx="12">
                  <c:v>0.681818181818182</c:v>
                </c:pt>
                <c:pt idx="13">
                  <c:v>0.375</c:v>
                </c:pt>
                <c:pt idx="14">
                  <c:v>0.608695652173913</c:v>
                </c:pt>
                <c:pt idx="15">
                  <c:v>0.722222222222222</c:v>
                </c:pt>
                <c:pt idx="16">
                  <c:v>0.916666666666667</c:v>
                </c:pt>
                <c:pt idx="17">
                  <c:v>0.764705882352941</c:v>
                </c:pt>
                <c:pt idx="18">
                  <c:v>0.666666666666667</c:v>
                </c:pt>
                <c:pt idx="19">
                  <c:v>0.5</c:v>
                </c:pt>
                <c:pt idx="20">
                  <c:v>0.666666666666667</c:v>
                </c:pt>
                <c:pt idx="21">
                  <c:v>0.25</c:v>
                </c:pt>
                <c:pt idx="22">
                  <c:v>0.555555555555556</c:v>
                </c:pt>
                <c:pt idx="23">
                  <c:v>0.571428571428571</c:v>
                </c:pt>
                <c:pt idx="24">
                  <c:v>0.666666666666667</c:v>
                </c:pt>
                <c:pt idx="25">
                  <c:v>0.615384615384615</c:v>
                </c:pt>
                <c:pt idx="26">
                  <c:v>0.666666666666667</c:v>
                </c:pt>
                <c:pt idx="27">
                  <c:v>0.333333333333333</c:v>
                </c:pt>
                <c:pt idx="28">
                  <c:v>0.6</c:v>
                </c:pt>
                <c:pt idx="29">
                  <c:v>0.5</c:v>
                </c:pt>
                <c:pt idx="30">
                  <c:v>0.9</c:v>
                </c:pt>
                <c:pt idx="31">
                  <c:v>0.333333333333333</c:v>
                </c:pt>
                <c:pt idx="32">
                  <c:v>0.555555555555556</c:v>
                </c:pt>
                <c:pt idx="33">
                  <c:v>0.5</c:v>
                </c:pt>
                <c:pt idx="34">
                  <c:v>0.714285714285714</c:v>
                </c:pt>
                <c:pt idx="35">
                  <c:v>0.777777777777778</c:v>
                </c:pt>
                <c:pt idx="36">
                  <c:v>0.6</c:v>
                </c:pt>
                <c:pt idx="37">
                  <c:v>0.545454545454545</c:v>
                </c:pt>
                <c:pt idx="38">
                  <c:v>0.8</c:v>
                </c:pt>
                <c:pt idx="39">
                  <c:v>0.769230769230769</c:v>
                </c:pt>
                <c:pt idx="40">
                  <c:v>0.5</c:v>
                </c:pt>
                <c:pt idx="41">
                  <c:v>0.333333333333333</c:v>
                </c:pt>
                <c:pt idx="42">
                  <c:v>0.333333333333333</c:v>
                </c:pt>
                <c:pt idx="43">
                  <c:v>0.714285714285714</c:v>
                </c:pt>
                <c:pt idx="44">
                  <c:v>0.714285714285714</c:v>
                </c:pt>
                <c:pt idx="45">
                  <c:v>0.333333333333333</c:v>
                </c:pt>
                <c:pt idx="46">
                  <c:v>0.4</c:v>
                </c:pt>
                <c:pt idx="47">
                  <c:v>0.6</c:v>
                </c:pt>
                <c:pt idx="48">
                  <c:v>0.75</c:v>
                </c:pt>
                <c:pt idx="49">
                  <c:v>0.545454545454545</c:v>
                </c:pt>
                <c:pt idx="50">
                  <c:v>1.0</c:v>
                </c:pt>
                <c:pt idx="51">
                  <c:v>0.666666666666667</c:v>
                </c:pt>
                <c:pt idx="52">
                  <c:v>0.714285714285714</c:v>
                </c:pt>
                <c:pt idx="53">
                  <c:v>1.0</c:v>
                </c:pt>
                <c:pt idx="54">
                  <c:v>0.5</c:v>
                </c:pt>
                <c:pt idx="55">
                  <c:v>0.333333333333333</c:v>
                </c:pt>
                <c:pt idx="56">
                  <c:v>0.375</c:v>
                </c:pt>
                <c:pt idx="57">
                  <c:v>0.8</c:v>
                </c:pt>
                <c:pt idx="58">
                  <c:v>0.375</c:v>
                </c:pt>
                <c:pt idx="59">
                  <c:v>0.25</c:v>
                </c:pt>
                <c:pt idx="60">
                  <c:v>0.5</c:v>
                </c:pt>
                <c:pt idx="61">
                  <c:v>0.833333333333333</c:v>
                </c:pt>
                <c:pt idx="62">
                  <c:v>0.833333333333333</c:v>
                </c:pt>
                <c:pt idx="63">
                  <c:v>0.666666666666667</c:v>
                </c:pt>
                <c:pt idx="64">
                  <c:v>0.75</c:v>
                </c:pt>
                <c:pt idx="65">
                  <c:v>0.4</c:v>
                </c:pt>
                <c:pt idx="66">
                  <c:v>0.555555555555556</c:v>
                </c:pt>
                <c:pt idx="67">
                  <c:v>0.666666666666667</c:v>
                </c:pt>
                <c:pt idx="68">
                  <c:v>0.4</c:v>
                </c:pt>
                <c:pt idx="69">
                  <c:v>0.333333333333333</c:v>
                </c:pt>
                <c:pt idx="70">
                  <c:v>0.8</c:v>
                </c:pt>
                <c:pt idx="71">
                  <c:v>0.142857142857143</c:v>
                </c:pt>
                <c:pt idx="72">
                  <c:v>0.5</c:v>
                </c:pt>
                <c:pt idx="73">
                  <c:v>0.0</c:v>
                </c:pt>
                <c:pt idx="74">
                  <c:v>0.0</c:v>
                </c:pt>
                <c:pt idx="75">
                  <c:v>0.333333333333333</c:v>
                </c:pt>
                <c:pt idx="76">
                  <c:v>0.5</c:v>
                </c:pt>
                <c:pt idx="77">
                  <c:v>0.5</c:v>
                </c:pt>
                <c:pt idx="78">
                  <c:v>0.0</c:v>
                </c:pt>
                <c:pt idx="79">
                  <c:v>0.666666666666667</c:v>
                </c:pt>
                <c:pt idx="80">
                  <c:v>0.5</c:v>
                </c:pt>
                <c:pt idx="81">
                  <c:v>0.875</c:v>
                </c:pt>
                <c:pt idx="82">
                  <c:v>0.333333333333333</c:v>
                </c:pt>
                <c:pt idx="83">
                  <c:v>0.571428571428571</c:v>
                </c:pt>
                <c:pt idx="84">
                  <c:v>1.0</c:v>
                </c:pt>
                <c:pt idx="85">
                  <c:v>0.5</c:v>
                </c:pt>
                <c:pt idx="86">
                  <c:v>0.25</c:v>
                </c:pt>
                <c:pt idx="87">
                  <c:v>0.2</c:v>
                </c:pt>
                <c:pt idx="88">
                  <c:v>0.4</c:v>
                </c:pt>
                <c:pt idx="89">
                  <c:v>0.75</c:v>
                </c:pt>
                <c:pt idx="90">
                  <c:v>0.25</c:v>
                </c:pt>
                <c:pt idx="91">
                  <c:v>0.25</c:v>
                </c:pt>
                <c:pt idx="92">
                  <c:v>1.0</c:v>
                </c:pt>
                <c:pt idx="93">
                  <c:v>0.857142857142857</c:v>
                </c:pt>
                <c:pt idx="94">
                  <c:v>0.5</c:v>
                </c:pt>
                <c:pt idx="95">
                  <c:v>1.0</c:v>
                </c:pt>
                <c:pt idx="96">
                  <c:v>0.333333333333333</c:v>
                </c:pt>
                <c:pt idx="97">
                  <c:v>0.0</c:v>
                </c:pt>
                <c:pt idx="98">
                  <c:v>0.4</c:v>
                </c:pt>
                <c:pt idx="99">
                  <c:v>0.285714285714286</c:v>
                </c:pt>
                <c:pt idx="100">
                  <c:v>0.6</c:v>
                </c:pt>
                <c:pt idx="101">
                  <c:v>0.5</c:v>
                </c:pt>
                <c:pt idx="102">
                  <c:v>0.75</c:v>
                </c:pt>
                <c:pt idx="103">
                  <c:v>0.25</c:v>
                </c:pt>
                <c:pt idx="104">
                  <c:v>0.714285714285714</c:v>
                </c:pt>
                <c:pt idx="105">
                  <c:v>0.5</c:v>
                </c:pt>
                <c:pt idx="106">
                  <c:v>0.333333333333333</c:v>
                </c:pt>
                <c:pt idx="107">
                  <c:v>1.0</c:v>
                </c:pt>
                <c:pt idx="108">
                  <c:v>0.5</c:v>
                </c:pt>
                <c:pt idx="109">
                  <c:v>1.0</c:v>
                </c:pt>
                <c:pt idx="110">
                  <c:v>0.571428571428571</c:v>
                </c:pt>
                <c:pt idx="111">
                  <c:v>0.5</c:v>
                </c:pt>
                <c:pt idx="112">
                  <c:v>0.666666666666667</c:v>
                </c:pt>
                <c:pt idx="113">
                  <c:v>0.6</c:v>
                </c:pt>
                <c:pt idx="114">
                  <c:v>0.5</c:v>
                </c:pt>
                <c:pt idx="115">
                  <c:v>0.833333333333333</c:v>
                </c:pt>
                <c:pt idx="116">
                  <c:v>0.555555555555556</c:v>
                </c:pt>
                <c:pt idx="117">
                  <c:v>0.6</c:v>
                </c:pt>
                <c:pt idx="118">
                  <c:v>0.777777777777778</c:v>
                </c:pt>
                <c:pt idx="119">
                  <c:v>0.8</c:v>
                </c:pt>
                <c:pt idx="120">
                  <c:v>0.428571428571429</c:v>
                </c:pt>
                <c:pt idx="121">
                  <c:v>0.714285714285714</c:v>
                </c:pt>
                <c:pt idx="122">
                  <c:v>0.4</c:v>
                </c:pt>
                <c:pt idx="123">
                  <c:v>0.461538461538462</c:v>
                </c:pt>
                <c:pt idx="124">
                  <c:v>0.529411764705882</c:v>
                </c:pt>
                <c:pt idx="125">
                  <c:v>0.6875</c:v>
                </c:pt>
                <c:pt idx="126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'freq_each-utr'!$S$2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0.13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0.1307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'freq_each-utr'!$S$3:$S$132</c:f>
              <c:numCache>
                <c:formatCode>General</c:formatCode>
                <c:ptCount val="130"/>
                <c:pt idx="0">
                  <c:v>0.412037037037037</c:v>
                </c:pt>
                <c:pt idx="1">
                  <c:v>0.318181818181818</c:v>
                </c:pt>
                <c:pt idx="2">
                  <c:v>0.307142857142857</c:v>
                </c:pt>
                <c:pt idx="3">
                  <c:v>0.355555555555556</c:v>
                </c:pt>
                <c:pt idx="4">
                  <c:v>0.3875</c:v>
                </c:pt>
                <c:pt idx="5">
                  <c:v>0.382352941176471</c:v>
                </c:pt>
                <c:pt idx="6">
                  <c:v>0.357142857142857</c:v>
                </c:pt>
                <c:pt idx="7">
                  <c:v>0.405405405405405</c:v>
                </c:pt>
                <c:pt idx="8">
                  <c:v>0.351851851851852</c:v>
                </c:pt>
                <c:pt idx="9">
                  <c:v>0.313725490196078</c:v>
                </c:pt>
                <c:pt idx="10">
                  <c:v>0.423076923076923</c:v>
                </c:pt>
                <c:pt idx="11">
                  <c:v>0.24</c:v>
                </c:pt>
                <c:pt idx="12">
                  <c:v>0.318181818181818</c:v>
                </c:pt>
                <c:pt idx="13">
                  <c:v>0.625</c:v>
                </c:pt>
                <c:pt idx="14">
                  <c:v>0.391304347826087</c:v>
                </c:pt>
                <c:pt idx="15">
                  <c:v>0.277777777777778</c:v>
                </c:pt>
                <c:pt idx="16">
                  <c:v>0.0833333333333333</c:v>
                </c:pt>
                <c:pt idx="17">
                  <c:v>0.235294117647059</c:v>
                </c:pt>
                <c:pt idx="18">
                  <c:v>0.333333333333333</c:v>
                </c:pt>
                <c:pt idx="19">
                  <c:v>0.5</c:v>
                </c:pt>
                <c:pt idx="20">
                  <c:v>0.333333333333333</c:v>
                </c:pt>
                <c:pt idx="21">
                  <c:v>0.75</c:v>
                </c:pt>
                <c:pt idx="22">
                  <c:v>0.444444444444444</c:v>
                </c:pt>
                <c:pt idx="23">
                  <c:v>0.428571428571429</c:v>
                </c:pt>
                <c:pt idx="24">
                  <c:v>0.333333333333333</c:v>
                </c:pt>
                <c:pt idx="25">
                  <c:v>0.384615384615385</c:v>
                </c:pt>
                <c:pt idx="26">
                  <c:v>0.333333333333333</c:v>
                </c:pt>
                <c:pt idx="27">
                  <c:v>0.666666666666667</c:v>
                </c:pt>
                <c:pt idx="28">
                  <c:v>0.4</c:v>
                </c:pt>
                <c:pt idx="29">
                  <c:v>0.5</c:v>
                </c:pt>
                <c:pt idx="30">
                  <c:v>0.1</c:v>
                </c:pt>
                <c:pt idx="31">
                  <c:v>0.666666666666667</c:v>
                </c:pt>
                <c:pt idx="32">
                  <c:v>0.444444444444444</c:v>
                </c:pt>
                <c:pt idx="33">
                  <c:v>0.5</c:v>
                </c:pt>
                <c:pt idx="34">
                  <c:v>0.285714285714286</c:v>
                </c:pt>
                <c:pt idx="35">
                  <c:v>0.222222222222222</c:v>
                </c:pt>
                <c:pt idx="36">
                  <c:v>0.4</c:v>
                </c:pt>
                <c:pt idx="37">
                  <c:v>0.454545454545454</c:v>
                </c:pt>
                <c:pt idx="38">
                  <c:v>0.2</c:v>
                </c:pt>
                <c:pt idx="39">
                  <c:v>0.230769230769231</c:v>
                </c:pt>
                <c:pt idx="40">
                  <c:v>0.5</c:v>
                </c:pt>
                <c:pt idx="41">
                  <c:v>0.666666666666667</c:v>
                </c:pt>
                <c:pt idx="42">
                  <c:v>0.666666666666667</c:v>
                </c:pt>
                <c:pt idx="43">
                  <c:v>0.285714285714286</c:v>
                </c:pt>
                <c:pt idx="44">
                  <c:v>0.285714285714286</c:v>
                </c:pt>
                <c:pt idx="45">
                  <c:v>0.666666666666667</c:v>
                </c:pt>
                <c:pt idx="46">
                  <c:v>0.6</c:v>
                </c:pt>
                <c:pt idx="47">
                  <c:v>0.4</c:v>
                </c:pt>
                <c:pt idx="48">
                  <c:v>0.25</c:v>
                </c:pt>
                <c:pt idx="49">
                  <c:v>0.454545454545454</c:v>
                </c:pt>
                <c:pt idx="50">
                  <c:v>0.0</c:v>
                </c:pt>
                <c:pt idx="51">
                  <c:v>0.333333333333333</c:v>
                </c:pt>
                <c:pt idx="52">
                  <c:v>0.285714285714286</c:v>
                </c:pt>
                <c:pt idx="53">
                  <c:v>0.0</c:v>
                </c:pt>
                <c:pt idx="54">
                  <c:v>0.5</c:v>
                </c:pt>
                <c:pt idx="55">
                  <c:v>0.666666666666667</c:v>
                </c:pt>
                <c:pt idx="56">
                  <c:v>0.625</c:v>
                </c:pt>
                <c:pt idx="57">
                  <c:v>0.2</c:v>
                </c:pt>
                <c:pt idx="58">
                  <c:v>0.625</c:v>
                </c:pt>
                <c:pt idx="59">
                  <c:v>0.75</c:v>
                </c:pt>
                <c:pt idx="60">
                  <c:v>0.5</c:v>
                </c:pt>
                <c:pt idx="61">
                  <c:v>0.166666666666667</c:v>
                </c:pt>
                <c:pt idx="62">
                  <c:v>0.166666666666667</c:v>
                </c:pt>
                <c:pt idx="63">
                  <c:v>0.333333333333333</c:v>
                </c:pt>
                <c:pt idx="64">
                  <c:v>0.25</c:v>
                </c:pt>
                <c:pt idx="65">
                  <c:v>0.6</c:v>
                </c:pt>
                <c:pt idx="66">
                  <c:v>0.444444444444444</c:v>
                </c:pt>
                <c:pt idx="67">
                  <c:v>0.333333333333333</c:v>
                </c:pt>
                <c:pt idx="68">
                  <c:v>0.6</c:v>
                </c:pt>
                <c:pt idx="69">
                  <c:v>0.666666666666667</c:v>
                </c:pt>
                <c:pt idx="70">
                  <c:v>0.2</c:v>
                </c:pt>
                <c:pt idx="71">
                  <c:v>0.857142857142857</c:v>
                </c:pt>
                <c:pt idx="72">
                  <c:v>0.5</c:v>
                </c:pt>
                <c:pt idx="73">
                  <c:v>1.0</c:v>
                </c:pt>
                <c:pt idx="74">
                  <c:v>1.0</c:v>
                </c:pt>
                <c:pt idx="75">
                  <c:v>0.666666666666667</c:v>
                </c:pt>
                <c:pt idx="76">
                  <c:v>0.5</c:v>
                </c:pt>
                <c:pt idx="77">
                  <c:v>0.5</c:v>
                </c:pt>
                <c:pt idx="78">
                  <c:v>1.0</c:v>
                </c:pt>
                <c:pt idx="79">
                  <c:v>0.333333333333333</c:v>
                </c:pt>
                <c:pt idx="80">
                  <c:v>0.5</c:v>
                </c:pt>
                <c:pt idx="81">
                  <c:v>0.125</c:v>
                </c:pt>
                <c:pt idx="82">
                  <c:v>0.666666666666667</c:v>
                </c:pt>
                <c:pt idx="83">
                  <c:v>0.428571428571429</c:v>
                </c:pt>
                <c:pt idx="84">
                  <c:v>0.0</c:v>
                </c:pt>
                <c:pt idx="85">
                  <c:v>0.5</c:v>
                </c:pt>
                <c:pt idx="86">
                  <c:v>0.75</c:v>
                </c:pt>
                <c:pt idx="87">
                  <c:v>0.8</c:v>
                </c:pt>
                <c:pt idx="88">
                  <c:v>0.6</c:v>
                </c:pt>
                <c:pt idx="89">
                  <c:v>0.25</c:v>
                </c:pt>
                <c:pt idx="90">
                  <c:v>0.75</c:v>
                </c:pt>
                <c:pt idx="91">
                  <c:v>0.75</c:v>
                </c:pt>
                <c:pt idx="92">
                  <c:v>0.0</c:v>
                </c:pt>
                <c:pt idx="93">
                  <c:v>0.142857142857143</c:v>
                </c:pt>
                <c:pt idx="94">
                  <c:v>0.5</c:v>
                </c:pt>
                <c:pt idx="95">
                  <c:v>0.0</c:v>
                </c:pt>
                <c:pt idx="96">
                  <c:v>0.666666666666667</c:v>
                </c:pt>
                <c:pt idx="97">
                  <c:v>1.0</c:v>
                </c:pt>
                <c:pt idx="98">
                  <c:v>0.6</c:v>
                </c:pt>
                <c:pt idx="99">
                  <c:v>0.714285714285714</c:v>
                </c:pt>
                <c:pt idx="100">
                  <c:v>0.4</c:v>
                </c:pt>
                <c:pt idx="101">
                  <c:v>0.5</c:v>
                </c:pt>
                <c:pt idx="102">
                  <c:v>0.25</c:v>
                </c:pt>
                <c:pt idx="103">
                  <c:v>0.75</c:v>
                </c:pt>
                <c:pt idx="104">
                  <c:v>0.285714285714286</c:v>
                </c:pt>
                <c:pt idx="105">
                  <c:v>0.5</c:v>
                </c:pt>
                <c:pt idx="106">
                  <c:v>0.666666666666667</c:v>
                </c:pt>
                <c:pt idx="107">
                  <c:v>0.0</c:v>
                </c:pt>
                <c:pt idx="108">
                  <c:v>0.5</c:v>
                </c:pt>
                <c:pt idx="109">
                  <c:v>0.0</c:v>
                </c:pt>
                <c:pt idx="110">
                  <c:v>0.428571428571429</c:v>
                </c:pt>
                <c:pt idx="111">
                  <c:v>0.5</c:v>
                </c:pt>
                <c:pt idx="112">
                  <c:v>0.333333333333333</c:v>
                </c:pt>
                <c:pt idx="113">
                  <c:v>0.4</c:v>
                </c:pt>
                <c:pt idx="114">
                  <c:v>0.5</c:v>
                </c:pt>
                <c:pt idx="115">
                  <c:v>0.166666666666667</c:v>
                </c:pt>
                <c:pt idx="116">
                  <c:v>0.444444444444444</c:v>
                </c:pt>
                <c:pt idx="117">
                  <c:v>0.4</c:v>
                </c:pt>
                <c:pt idx="118">
                  <c:v>0.222222222222222</c:v>
                </c:pt>
                <c:pt idx="119">
                  <c:v>0.2</c:v>
                </c:pt>
                <c:pt idx="120">
                  <c:v>0.571428571428571</c:v>
                </c:pt>
                <c:pt idx="121">
                  <c:v>0.285714285714286</c:v>
                </c:pt>
                <c:pt idx="122">
                  <c:v>0.6</c:v>
                </c:pt>
                <c:pt idx="123">
                  <c:v>0.538461538461538</c:v>
                </c:pt>
                <c:pt idx="124">
                  <c:v>0.470588235294118</c:v>
                </c:pt>
                <c:pt idx="125">
                  <c:v>0.3125</c:v>
                </c:pt>
                <c:pt idx="126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90576"/>
        <c:axId val="-2138785040"/>
      </c:scatterChart>
      <c:valAx>
        <c:axId val="-2138790576"/>
        <c:scaling>
          <c:orientation val="minMax"/>
          <c:max val="14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8785040"/>
        <c:crosses val="autoZero"/>
        <c:crossBetween val="midCat"/>
        <c:majorUnit val="20.0"/>
      </c:valAx>
      <c:valAx>
        <c:axId val="-213878504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8790576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'freq_each-nsy'!$P$2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r>
                      <a:rPr lang="en-US" altLang="zh-CN" sz="1200" baseline="0"/>
                      <a:t>35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'freq_each-nsy'!$P$3:$P$132</c:f>
              <c:numCache>
                <c:formatCode>General</c:formatCode>
                <c:ptCount val="130"/>
                <c:pt idx="0">
                  <c:v>0.526056338028169</c:v>
                </c:pt>
                <c:pt idx="1">
                  <c:v>0.52132701421801</c:v>
                </c:pt>
                <c:pt idx="2">
                  <c:v>0.496907216494845</c:v>
                </c:pt>
                <c:pt idx="3">
                  <c:v>0.510971786833856</c:v>
                </c:pt>
                <c:pt idx="4">
                  <c:v>0.467248908296943</c:v>
                </c:pt>
                <c:pt idx="5">
                  <c:v>0.53125</c:v>
                </c:pt>
                <c:pt idx="6">
                  <c:v>0.48125</c:v>
                </c:pt>
                <c:pt idx="7">
                  <c:v>0.485294117647059</c:v>
                </c:pt>
                <c:pt idx="8">
                  <c:v>0.453125</c:v>
                </c:pt>
                <c:pt idx="9">
                  <c:v>0.51304347826087</c:v>
                </c:pt>
                <c:pt idx="10">
                  <c:v>0.45679012345679</c:v>
                </c:pt>
                <c:pt idx="11">
                  <c:v>0.418181818181818</c:v>
                </c:pt>
                <c:pt idx="12">
                  <c:v>0.535211267605634</c:v>
                </c:pt>
                <c:pt idx="13">
                  <c:v>0.516129032258064</c:v>
                </c:pt>
                <c:pt idx="14">
                  <c:v>0.478260869565217</c:v>
                </c:pt>
                <c:pt idx="15">
                  <c:v>0.6</c:v>
                </c:pt>
                <c:pt idx="16">
                  <c:v>0.395833333333333</c:v>
                </c:pt>
                <c:pt idx="17">
                  <c:v>0.512820512820513</c:v>
                </c:pt>
                <c:pt idx="18">
                  <c:v>0.5</c:v>
                </c:pt>
                <c:pt idx="19">
                  <c:v>0.521739130434783</c:v>
                </c:pt>
                <c:pt idx="20">
                  <c:v>0.333333333333333</c:v>
                </c:pt>
                <c:pt idx="21">
                  <c:v>0.653846153846154</c:v>
                </c:pt>
                <c:pt idx="22">
                  <c:v>0.413793103448276</c:v>
                </c:pt>
                <c:pt idx="23">
                  <c:v>0.517241379310345</c:v>
                </c:pt>
                <c:pt idx="24">
                  <c:v>0.5</c:v>
                </c:pt>
                <c:pt idx="25">
                  <c:v>0.583333333333333</c:v>
                </c:pt>
                <c:pt idx="26">
                  <c:v>0.428571428571429</c:v>
                </c:pt>
                <c:pt idx="27">
                  <c:v>0.631578947368421</c:v>
                </c:pt>
                <c:pt idx="28">
                  <c:v>0.521739130434783</c:v>
                </c:pt>
                <c:pt idx="29">
                  <c:v>0.363636363636364</c:v>
                </c:pt>
                <c:pt idx="30">
                  <c:v>0.56</c:v>
                </c:pt>
                <c:pt idx="31">
                  <c:v>0.571428571428571</c:v>
                </c:pt>
                <c:pt idx="32">
                  <c:v>0.380952380952381</c:v>
                </c:pt>
                <c:pt idx="33">
                  <c:v>0.571428571428571</c:v>
                </c:pt>
                <c:pt idx="34">
                  <c:v>0.285714285714286</c:v>
                </c:pt>
                <c:pt idx="35">
                  <c:v>0.444444444444444</c:v>
                </c:pt>
                <c:pt idx="36">
                  <c:v>0.6</c:v>
                </c:pt>
                <c:pt idx="37">
                  <c:v>0.357142857142857</c:v>
                </c:pt>
                <c:pt idx="38">
                  <c:v>0.8125</c:v>
                </c:pt>
                <c:pt idx="39">
                  <c:v>0.625</c:v>
                </c:pt>
                <c:pt idx="40">
                  <c:v>0.666666666666667</c:v>
                </c:pt>
                <c:pt idx="41">
                  <c:v>0.5</c:v>
                </c:pt>
                <c:pt idx="42">
                  <c:v>0.333333333333333</c:v>
                </c:pt>
                <c:pt idx="43">
                  <c:v>0.384615384615385</c:v>
                </c:pt>
                <c:pt idx="44">
                  <c:v>0.615384615384615</c:v>
                </c:pt>
                <c:pt idx="45">
                  <c:v>0.6</c:v>
                </c:pt>
                <c:pt idx="46">
                  <c:v>0.5</c:v>
                </c:pt>
                <c:pt idx="47">
                  <c:v>0.545454545454545</c:v>
                </c:pt>
                <c:pt idx="48">
                  <c:v>0.235294117647059</c:v>
                </c:pt>
                <c:pt idx="49">
                  <c:v>0.6</c:v>
                </c:pt>
                <c:pt idx="50">
                  <c:v>0.583333333333333</c:v>
                </c:pt>
                <c:pt idx="51">
                  <c:v>0.642857142857143</c:v>
                </c:pt>
                <c:pt idx="52">
                  <c:v>0.5</c:v>
                </c:pt>
                <c:pt idx="53">
                  <c:v>0.571428571428571</c:v>
                </c:pt>
                <c:pt idx="54">
                  <c:v>0.888888888888889</c:v>
                </c:pt>
                <c:pt idx="55">
                  <c:v>0.533333333333333</c:v>
                </c:pt>
                <c:pt idx="56">
                  <c:v>0.714285714285714</c:v>
                </c:pt>
                <c:pt idx="57">
                  <c:v>0.45</c:v>
                </c:pt>
                <c:pt idx="58">
                  <c:v>0.666666666666667</c:v>
                </c:pt>
                <c:pt idx="59">
                  <c:v>0.692307692307692</c:v>
                </c:pt>
                <c:pt idx="60">
                  <c:v>0.5625</c:v>
                </c:pt>
                <c:pt idx="61">
                  <c:v>0.666666666666667</c:v>
                </c:pt>
                <c:pt idx="62">
                  <c:v>0.625</c:v>
                </c:pt>
                <c:pt idx="63">
                  <c:v>0.666666666666667</c:v>
                </c:pt>
                <c:pt idx="64">
                  <c:v>0.8</c:v>
                </c:pt>
                <c:pt idx="65">
                  <c:v>0.571428571428571</c:v>
                </c:pt>
                <c:pt idx="66">
                  <c:v>0.538461538461538</c:v>
                </c:pt>
                <c:pt idx="67">
                  <c:v>0.545454545454545</c:v>
                </c:pt>
                <c:pt idx="68">
                  <c:v>0.666666666666667</c:v>
                </c:pt>
                <c:pt idx="69">
                  <c:v>0.833333333333333</c:v>
                </c:pt>
                <c:pt idx="70">
                  <c:v>0.625</c:v>
                </c:pt>
                <c:pt idx="71">
                  <c:v>0.5</c:v>
                </c:pt>
                <c:pt idx="72">
                  <c:v>0.285714285714286</c:v>
                </c:pt>
                <c:pt idx="73">
                  <c:v>0.428571428571429</c:v>
                </c:pt>
                <c:pt idx="74">
                  <c:v>0.555555555555556</c:v>
                </c:pt>
                <c:pt idx="75">
                  <c:v>0.666666666666667</c:v>
                </c:pt>
                <c:pt idx="76">
                  <c:v>0.416666666666667</c:v>
                </c:pt>
                <c:pt idx="77">
                  <c:v>0.6</c:v>
                </c:pt>
                <c:pt idx="78">
                  <c:v>0.857142857142857</c:v>
                </c:pt>
                <c:pt idx="79">
                  <c:v>0.722222222222222</c:v>
                </c:pt>
                <c:pt idx="80">
                  <c:v>0.75</c:v>
                </c:pt>
                <c:pt idx="81">
                  <c:v>0.625</c:v>
                </c:pt>
                <c:pt idx="82">
                  <c:v>0.857142857142857</c:v>
                </c:pt>
                <c:pt idx="83">
                  <c:v>0.8</c:v>
                </c:pt>
                <c:pt idx="84">
                  <c:v>0.8</c:v>
                </c:pt>
                <c:pt idx="85">
                  <c:v>0.333333333333333</c:v>
                </c:pt>
                <c:pt idx="86">
                  <c:v>0.571428571428571</c:v>
                </c:pt>
                <c:pt idx="87">
                  <c:v>1.0</c:v>
                </c:pt>
                <c:pt idx="88">
                  <c:v>0.75</c:v>
                </c:pt>
                <c:pt idx="89">
                  <c:v>0.5</c:v>
                </c:pt>
                <c:pt idx="90">
                  <c:v>0.666666666666667</c:v>
                </c:pt>
                <c:pt idx="91">
                  <c:v>1.0</c:v>
                </c:pt>
                <c:pt idx="92">
                  <c:v>0.7</c:v>
                </c:pt>
                <c:pt idx="93">
                  <c:v>0.666666666666667</c:v>
                </c:pt>
                <c:pt idx="94">
                  <c:v>0.428571428571429</c:v>
                </c:pt>
                <c:pt idx="95">
                  <c:v>0.571428571428571</c:v>
                </c:pt>
                <c:pt idx="96">
                  <c:v>0.625</c:v>
                </c:pt>
                <c:pt idx="97">
                  <c:v>0.5</c:v>
                </c:pt>
                <c:pt idx="98">
                  <c:v>0.9</c:v>
                </c:pt>
                <c:pt idx="99">
                  <c:v>0.666666666666667</c:v>
                </c:pt>
                <c:pt idx="100">
                  <c:v>0.727272727272727</c:v>
                </c:pt>
                <c:pt idx="101">
                  <c:v>0.833333333333333</c:v>
                </c:pt>
                <c:pt idx="102">
                  <c:v>0.733333333333333</c:v>
                </c:pt>
                <c:pt idx="103">
                  <c:v>0.416666666666667</c:v>
                </c:pt>
                <c:pt idx="104">
                  <c:v>0.714285714285714</c:v>
                </c:pt>
                <c:pt idx="105">
                  <c:v>0.833333333333333</c:v>
                </c:pt>
                <c:pt idx="106">
                  <c:v>0.428571428571429</c:v>
                </c:pt>
                <c:pt idx="107">
                  <c:v>0.5</c:v>
                </c:pt>
                <c:pt idx="108">
                  <c:v>0.75</c:v>
                </c:pt>
                <c:pt idx="109">
                  <c:v>0.5</c:v>
                </c:pt>
                <c:pt idx="110">
                  <c:v>0.833333333333333</c:v>
                </c:pt>
                <c:pt idx="111">
                  <c:v>0.666666666666667</c:v>
                </c:pt>
                <c:pt idx="112">
                  <c:v>0.444444444444444</c:v>
                </c:pt>
                <c:pt idx="113">
                  <c:v>0.444444444444444</c:v>
                </c:pt>
                <c:pt idx="114">
                  <c:v>0.769230769230769</c:v>
                </c:pt>
                <c:pt idx="115">
                  <c:v>0.428571428571429</c:v>
                </c:pt>
                <c:pt idx="116">
                  <c:v>0.555555555555556</c:v>
                </c:pt>
                <c:pt idx="117">
                  <c:v>0.5</c:v>
                </c:pt>
                <c:pt idx="118">
                  <c:v>0.647058823529412</c:v>
                </c:pt>
                <c:pt idx="119">
                  <c:v>0.615384615384615</c:v>
                </c:pt>
                <c:pt idx="120">
                  <c:v>0.7</c:v>
                </c:pt>
                <c:pt idx="121">
                  <c:v>0.875</c:v>
                </c:pt>
                <c:pt idx="122">
                  <c:v>0.642857142857143</c:v>
                </c:pt>
                <c:pt idx="123">
                  <c:v>0.607142857142857</c:v>
                </c:pt>
                <c:pt idx="124">
                  <c:v>0.555555555555556</c:v>
                </c:pt>
                <c:pt idx="125">
                  <c:v>0.657894736842105</c:v>
                </c:pt>
                <c:pt idx="126">
                  <c:v>0.666666666666667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'freq_each-nsy'!$Q$2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r>
                      <a:rPr lang="en-US" altLang="zh-CN" baseline="0"/>
                      <a:t>.35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'freq_each-nsy'!$Q$3:$Q$132</c:f>
              <c:numCache>
                <c:formatCode>General</c:formatCode>
                <c:ptCount val="130"/>
                <c:pt idx="0">
                  <c:v>0.473943661971831</c:v>
                </c:pt>
                <c:pt idx="1">
                  <c:v>0.47867298578199</c:v>
                </c:pt>
                <c:pt idx="2">
                  <c:v>0.503092783505155</c:v>
                </c:pt>
                <c:pt idx="3">
                  <c:v>0.489028213166144</c:v>
                </c:pt>
                <c:pt idx="4">
                  <c:v>0.532751091703057</c:v>
                </c:pt>
                <c:pt idx="5">
                  <c:v>0.46875</c:v>
                </c:pt>
                <c:pt idx="6">
                  <c:v>0.51875</c:v>
                </c:pt>
                <c:pt idx="7">
                  <c:v>0.514705882352941</c:v>
                </c:pt>
                <c:pt idx="8">
                  <c:v>0.546875</c:v>
                </c:pt>
                <c:pt idx="9">
                  <c:v>0.48695652173913</c:v>
                </c:pt>
                <c:pt idx="10">
                  <c:v>0.54320987654321</c:v>
                </c:pt>
                <c:pt idx="11">
                  <c:v>0.581818181818182</c:v>
                </c:pt>
                <c:pt idx="12">
                  <c:v>0.464788732394366</c:v>
                </c:pt>
                <c:pt idx="13">
                  <c:v>0.483870967741935</c:v>
                </c:pt>
                <c:pt idx="14">
                  <c:v>0.521739130434783</c:v>
                </c:pt>
                <c:pt idx="15">
                  <c:v>0.4</c:v>
                </c:pt>
                <c:pt idx="16">
                  <c:v>0.604166666666667</c:v>
                </c:pt>
                <c:pt idx="17">
                  <c:v>0.487179487179487</c:v>
                </c:pt>
                <c:pt idx="18">
                  <c:v>0.5</c:v>
                </c:pt>
                <c:pt idx="19">
                  <c:v>0.478260869565217</c:v>
                </c:pt>
                <c:pt idx="20">
                  <c:v>0.666666666666667</c:v>
                </c:pt>
                <c:pt idx="21">
                  <c:v>0.346153846153846</c:v>
                </c:pt>
                <c:pt idx="22">
                  <c:v>0.586206896551724</c:v>
                </c:pt>
                <c:pt idx="23">
                  <c:v>0.482758620689655</c:v>
                </c:pt>
                <c:pt idx="24">
                  <c:v>0.5</c:v>
                </c:pt>
                <c:pt idx="25">
                  <c:v>0.416666666666667</c:v>
                </c:pt>
                <c:pt idx="26">
                  <c:v>0.571428571428571</c:v>
                </c:pt>
                <c:pt idx="27">
                  <c:v>0.368421052631579</c:v>
                </c:pt>
                <c:pt idx="28">
                  <c:v>0.478260869565217</c:v>
                </c:pt>
                <c:pt idx="29">
                  <c:v>0.636363636363636</c:v>
                </c:pt>
                <c:pt idx="30">
                  <c:v>0.44</c:v>
                </c:pt>
                <c:pt idx="31">
                  <c:v>0.428571428571429</c:v>
                </c:pt>
                <c:pt idx="32">
                  <c:v>0.619047619047619</c:v>
                </c:pt>
                <c:pt idx="33">
                  <c:v>0.428571428571429</c:v>
                </c:pt>
                <c:pt idx="34">
                  <c:v>0.714285714285714</c:v>
                </c:pt>
                <c:pt idx="35">
                  <c:v>0.555555555555556</c:v>
                </c:pt>
                <c:pt idx="36">
                  <c:v>0.4</c:v>
                </c:pt>
                <c:pt idx="37">
                  <c:v>0.642857142857143</c:v>
                </c:pt>
                <c:pt idx="38">
                  <c:v>0.1875</c:v>
                </c:pt>
                <c:pt idx="39">
                  <c:v>0.375</c:v>
                </c:pt>
                <c:pt idx="40">
                  <c:v>0.333333333333333</c:v>
                </c:pt>
                <c:pt idx="41">
                  <c:v>0.5</c:v>
                </c:pt>
                <c:pt idx="42">
                  <c:v>0.666666666666667</c:v>
                </c:pt>
                <c:pt idx="43">
                  <c:v>0.615384615384615</c:v>
                </c:pt>
                <c:pt idx="44">
                  <c:v>0.384615384615385</c:v>
                </c:pt>
                <c:pt idx="45">
                  <c:v>0.4</c:v>
                </c:pt>
                <c:pt idx="46">
                  <c:v>0.5</c:v>
                </c:pt>
                <c:pt idx="47">
                  <c:v>0.454545454545454</c:v>
                </c:pt>
                <c:pt idx="48">
                  <c:v>0.764705882352941</c:v>
                </c:pt>
                <c:pt idx="49">
                  <c:v>0.4</c:v>
                </c:pt>
                <c:pt idx="50">
                  <c:v>0.416666666666667</c:v>
                </c:pt>
                <c:pt idx="51">
                  <c:v>0.357142857142857</c:v>
                </c:pt>
                <c:pt idx="52">
                  <c:v>0.5</c:v>
                </c:pt>
                <c:pt idx="53">
                  <c:v>0.428571428571429</c:v>
                </c:pt>
                <c:pt idx="54">
                  <c:v>0.111111111111111</c:v>
                </c:pt>
                <c:pt idx="55">
                  <c:v>0.466666666666667</c:v>
                </c:pt>
                <c:pt idx="56">
                  <c:v>0.285714285714286</c:v>
                </c:pt>
                <c:pt idx="57">
                  <c:v>0.55</c:v>
                </c:pt>
                <c:pt idx="58">
                  <c:v>0.333333333333333</c:v>
                </c:pt>
                <c:pt idx="59">
                  <c:v>0.307692307692308</c:v>
                </c:pt>
                <c:pt idx="60">
                  <c:v>0.4375</c:v>
                </c:pt>
                <c:pt idx="61">
                  <c:v>0.333333333333333</c:v>
                </c:pt>
                <c:pt idx="62">
                  <c:v>0.375</c:v>
                </c:pt>
                <c:pt idx="63">
                  <c:v>0.333333333333333</c:v>
                </c:pt>
                <c:pt idx="64">
                  <c:v>0.2</c:v>
                </c:pt>
                <c:pt idx="65">
                  <c:v>0.428571428571429</c:v>
                </c:pt>
                <c:pt idx="66">
                  <c:v>0.461538461538462</c:v>
                </c:pt>
                <c:pt idx="67">
                  <c:v>0.454545454545454</c:v>
                </c:pt>
                <c:pt idx="68">
                  <c:v>0.333333333333333</c:v>
                </c:pt>
                <c:pt idx="69">
                  <c:v>0.166666666666667</c:v>
                </c:pt>
                <c:pt idx="70">
                  <c:v>0.375</c:v>
                </c:pt>
                <c:pt idx="71">
                  <c:v>0.5</c:v>
                </c:pt>
                <c:pt idx="72">
                  <c:v>0.714285714285714</c:v>
                </c:pt>
                <c:pt idx="73">
                  <c:v>0.571428571428571</c:v>
                </c:pt>
                <c:pt idx="74">
                  <c:v>0.444444444444444</c:v>
                </c:pt>
                <c:pt idx="75">
                  <c:v>0.333333333333333</c:v>
                </c:pt>
                <c:pt idx="76">
                  <c:v>0.583333333333333</c:v>
                </c:pt>
                <c:pt idx="77">
                  <c:v>0.4</c:v>
                </c:pt>
                <c:pt idx="78">
                  <c:v>0.142857142857143</c:v>
                </c:pt>
                <c:pt idx="79">
                  <c:v>0.277777777777778</c:v>
                </c:pt>
                <c:pt idx="80">
                  <c:v>0.25</c:v>
                </c:pt>
                <c:pt idx="81">
                  <c:v>0.375</c:v>
                </c:pt>
                <c:pt idx="82">
                  <c:v>0.142857142857143</c:v>
                </c:pt>
                <c:pt idx="83">
                  <c:v>0.2</c:v>
                </c:pt>
                <c:pt idx="84">
                  <c:v>0.2</c:v>
                </c:pt>
                <c:pt idx="85">
                  <c:v>0.666666666666667</c:v>
                </c:pt>
                <c:pt idx="86">
                  <c:v>0.428571428571429</c:v>
                </c:pt>
                <c:pt idx="87">
                  <c:v>0.0</c:v>
                </c:pt>
                <c:pt idx="88">
                  <c:v>0.25</c:v>
                </c:pt>
                <c:pt idx="89">
                  <c:v>0.5</c:v>
                </c:pt>
                <c:pt idx="90">
                  <c:v>0.333333333333333</c:v>
                </c:pt>
                <c:pt idx="91">
                  <c:v>0.0</c:v>
                </c:pt>
                <c:pt idx="92">
                  <c:v>0.3</c:v>
                </c:pt>
                <c:pt idx="93">
                  <c:v>0.333333333333333</c:v>
                </c:pt>
                <c:pt idx="94">
                  <c:v>0.571428571428571</c:v>
                </c:pt>
                <c:pt idx="95">
                  <c:v>0.428571428571429</c:v>
                </c:pt>
                <c:pt idx="96">
                  <c:v>0.375</c:v>
                </c:pt>
                <c:pt idx="97">
                  <c:v>0.5</c:v>
                </c:pt>
                <c:pt idx="98">
                  <c:v>0.1</c:v>
                </c:pt>
                <c:pt idx="99">
                  <c:v>0.333333333333333</c:v>
                </c:pt>
                <c:pt idx="100">
                  <c:v>0.272727272727273</c:v>
                </c:pt>
                <c:pt idx="101">
                  <c:v>0.166666666666667</c:v>
                </c:pt>
                <c:pt idx="102">
                  <c:v>0.266666666666667</c:v>
                </c:pt>
                <c:pt idx="103">
                  <c:v>0.583333333333333</c:v>
                </c:pt>
                <c:pt idx="104">
                  <c:v>0.285714285714286</c:v>
                </c:pt>
                <c:pt idx="105">
                  <c:v>0.166666666666667</c:v>
                </c:pt>
                <c:pt idx="106">
                  <c:v>0.571428571428571</c:v>
                </c:pt>
                <c:pt idx="107">
                  <c:v>0.5</c:v>
                </c:pt>
                <c:pt idx="108">
                  <c:v>0.25</c:v>
                </c:pt>
                <c:pt idx="109">
                  <c:v>0.5</c:v>
                </c:pt>
                <c:pt idx="110">
                  <c:v>0.166666666666667</c:v>
                </c:pt>
                <c:pt idx="111">
                  <c:v>0.333333333333333</c:v>
                </c:pt>
                <c:pt idx="112">
                  <c:v>0.555555555555556</c:v>
                </c:pt>
                <c:pt idx="113">
                  <c:v>0.555555555555556</c:v>
                </c:pt>
                <c:pt idx="114">
                  <c:v>0.230769230769231</c:v>
                </c:pt>
                <c:pt idx="115">
                  <c:v>0.571428571428571</c:v>
                </c:pt>
                <c:pt idx="116">
                  <c:v>0.444444444444444</c:v>
                </c:pt>
                <c:pt idx="117">
                  <c:v>0.5</c:v>
                </c:pt>
                <c:pt idx="118">
                  <c:v>0.352941176470588</c:v>
                </c:pt>
                <c:pt idx="119">
                  <c:v>0.384615384615385</c:v>
                </c:pt>
                <c:pt idx="120">
                  <c:v>0.3</c:v>
                </c:pt>
                <c:pt idx="121">
                  <c:v>0.125</c:v>
                </c:pt>
                <c:pt idx="122">
                  <c:v>0.357142857142857</c:v>
                </c:pt>
                <c:pt idx="123">
                  <c:v>0.392857142857143</c:v>
                </c:pt>
                <c:pt idx="124">
                  <c:v>0.444444444444444</c:v>
                </c:pt>
                <c:pt idx="125">
                  <c:v>0.342105263157895</c:v>
                </c:pt>
                <c:pt idx="126">
                  <c:v>0.333333333333333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84016"/>
        <c:axId val="2136689552"/>
      </c:scatterChart>
      <c:valAx>
        <c:axId val="21366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689552"/>
        <c:crosses val="autoZero"/>
        <c:crossBetween val="midCat"/>
      </c:valAx>
      <c:valAx>
        <c:axId val="213668955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684016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'freq_each-nsy'!$R$2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0.</a:t>
                    </a:r>
                    <a:r>
                      <a:rPr lang="en-US" altLang="zh-CN" baseline="0"/>
                      <a:t>26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0.0024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'freq_each-nsy'!$R$3:$R$132</c:f>
              <c:numCache>
                <c:formatCode>General</c:formatCode>
                <c:ptCount val="130"/>
                <c:pt idx="0">
                  <c:v>0.669266770670827</c:v>
                </c:pt>
                <c:pt idx="1">
                  <c:v>0.681710213776722</c:v>
                </c:pt>
                <c:pt idx="2">
                  <c:v>0.682563338301043</c:v>
                </c:pt>
                <c:pt idx="3">
                  <c:v>0.671875</c:v>
                </c:pt>
                <c:pt idx="4">
                  <c:v>0.643790849673203</c:v>
                </c:pt>
                <c:pt idx="5">
                  <c:v>0.693215339233038</c:v>
                </c:pt>
                <c:pt idx="6">
                  <c:v>0.685714285714286</c:v>
                </c:pt>
                <c:pt idx="7">
                  <c:v>0.690721649484536</c:v>
                </c:pt>
                <c:pt idx="8">
                  <c:v>0.65979381443299</c:v>
                </c:pt>
                <c:pt idx="9">
                  <c:v>0.755725190839695</c:v>
                </c:pt>
                <c:pt idx="10">
                  <c:v>0.660194174757281</c:v>
                </c:pt>
                <c:pt idx="11">
                  <c:v>0.641304347826087</c:v>
                </c:pt>
                <c:pt idx="12">
                  <c:v>0.7</c:v>
                </c:pt>
                <c:pt idx="13">
                  <c:v>0.671052631578947</c:v>
                </c:pt>
                <c:pt idx="14">
                  <c:v>0.728571428571428</c:v>
                </c:pt>
                <c:pt idx="15">
                  <c:v>0.672727272727273</c:v>
                </c:pt>
                <c:pt idx="16">
                  <c:v>0.754385964912281</c:v>
                </c:pt>
                <c:pt idx="17">
                  <c:v>0.75</c:v>
                </c:pt>
                <c:pt idx="18">
                  <c:v>0.589285714285714</c:v>
                </c:pt>
                <c:pt idx="19">
                  <c:v>0.783783783783784</c:v>
                </c:pt>
                <c:pt idx="20">
                  <c:v>0.6875</c:v>
                </c:pt>
                <c:pt idx="21">
                  <c:v>0.6875</c:v>
                </c:pt>
                <c:pt idx="22">
                  <c:v>0.514285714285714</c:v>
                </c:pt>
                <c:pt idx="23">
                  <c:v>0.628571428571428</c:v>
                </c:pt>
                <c:pt idx="24">
                  <c:v>0.814814814814815</c:v>
                </c:pt>
                <c:pt idx="25">
                  <c:v>0.615384615384615</c:v>
                </c:pt>
                <c:pt idx="26">
                  <c:v>0.67741935483871</c:v>
                </c:pt>
                <c:pt idx="27">
                  <c:v>0.666666666666667</c:v>
                </c:pt>
                <c:pt idx="28">
                  <c:v>0.590909090909091</c:v>
                </c:pt>
                <c:pt idx="29">
                  <c:v>0.655172413793103</c:v>
                </c:pt>
                <c:pt idx="30">
                  <c:v>0.678571428571429</c:v>
                </c:pt>
                <c:pt idx="31">
                  <c:v>0.739130434782609</c:v>
                </c:pt>
                <c:pt idx="32">
                  <c:v>0.684210526315789</c:v>
                </c:pt>
                <c:pt idx="33">
                  <c:v>1.0</c:v>
                </c:pt>
                <c:pt idx="34">
                  <c:v>0.714285714285714</c:v>
                </c:pt>
                <c:pt idx="35">
                  <c:v>0.766666666666667</c:v>
                </c:pt>
                <c:pt idx="36">
                  <c:v>0.6875</c:v>
                </c:pt>
                <c:pt idx="37">
                  <c:v>0.692307692307692</c:v>
                </c:pt>
                <c:pt idx="38">
                  <c:v>0.65</c:v>
                </c:pt>
                <c:pt idx="39">
                  <c:v>0.666666666666667</c:v>
                </c:pt>
                <c:pt idx="40">
                  <c:v>0.75</c:v>
                </c:pt>
                <c:pt idx="41">
                  <c:v>0.583333333333333</c:v>
                </c:pt>
                <c:pt idx="42">
                  <c:v>0.916666666666667</c:v>
                </c:pt>
                <c:pt idx="43">
                  <c:v>0.615384615384615</c:v>
                </c:pt>
                <c:pt idx="44">
                  <c:v>0.538461538461538</c:v>
                </c:pt>
                <c:pt idx="45">
                  <c:v>0.333333333333333</c:v>
                </c:pt>
                <c:pt idx="46">
                  <c:v>0.6</c:v>
                </c:pt>
                <c:pt idx="47">
                  <c:v>0.588235294117647</c:v>
                </c:pt>
                <c:pt idx="48">
                  <c:v>0.533333333333333</c:v>
                </c:pt>
                <c:pt idx="49">
                  <c:v>0.8</c:v>
                </c:pt>
                <c:pt idx="50">
                  <c:v>1.0</c:v>
                </c:pt>
                <c:pt idx="51">
                  <c:v>0.5</c:v>
                </c:pt>
                <c:pt idx="52">
                  <c:v>0.727272727272727</c:v>
                </c:pt>
                <c:pt idx="53">
                  <c:v>0.565217391304348</c:v>
                </c:pt>
                <c:pt idx="54">
                  <c:v>0.538461538461538</c:v>
                </c:pt>
                <c:pt idx="55">
                  <c:v>0.615384615384615</c:v>
                </c:pt>
                <c:pt idx="56">
                  <c:v>0.714285714285714</c:v>
                </c:pt>
                <c:pt idx="57">
                  <c:v>0.733333333333333</c:v>
                </c:pt>
                <c:pt idx="58">
                  <c:v>0.625</c:v>
                </c:pt>
                <c:pt idx="59">
                  <c:v>0.75</c:v>
                </c:pt>
                <c:pt idx="60">
                  <c:v>0.545454545454545</c:v>
                </c:pt>
                <c:pt idx="61">
                  <c:v>0.454545454545454</c:v>
                </c:pt>
                <c:pt idx="62">
                  <c:v>0.6</c:v>
                </c:pt>
                <c:pt idx="63">
                  <c:v>0.6</c:v>
                </c:pt>
                <c:pt idx="64">
                  <c:v>0.375</c:v>
                </c:pt>
                <c:pt idx="65">
                  <c:v>0.6</c:v>
                </c:pt>
                <c:pt idx="66">
                  <c:v>0.428571428571429</c:v>
                </c:pt>
                <c:pt idx="67">
                  <c:v>0.692307692307692</c:v>
                </c:pt>
                <c:pt idx="68">
                  <c:v>0.555555555555556</c:v>
                </c:pt>
                <c:pt idx="69">
                  <c:v>0.428571428571429</c:v>
                </c:pt>
                <c:pt idx="70">
                  <c:v>0.5</c:v>
                </c:pt>
                <c:pt idx="71">
                  <c:v>0.75</c:v>
                </c:pt>
                <c:pt idx="72">
                  <c:v>0.384615384615385</c:v>
                </c:pt>
                <c:pt idx="73">
                  <c:v>0.833333333333333</c:v>
                </c:pt>
                <c:pt idx="74">
                  <c:v>0.375</c:v>
                </c:pt>
                <c:pt idx="75">
                  <c:v>0.3</c:v>
                </c:pt>
                <c:pt idx="76">
                  <c:v>0.571428571428571</c:v>
                </c:pt>
                <c:pt idx="77">
                  <c:v>0.642857142857143</c:v>
                </c:pt>
                <c:pt idx="78">
                  <c:v>0.5</c:v>
                </c:pt>
                <c:pt idx="79">
                  <c:v>0.75</c:v>
                </c:pt>
                <c:pt idx="80">
                  <c:v>0.6</c:v>
                </c:pt>
                <c:pt idx="81">
                  <c:v>0.625</c:v>
                </c:pt>
                <c:pt idx="82">
                  <c:v>1.0</c:v>
                </c:pt>
                <c:pt idx="83">
                  <c:v>0.666666666666667</c:v>
                </c:pt>
                <c:pt idx="84">
                  <c:v>0.0</c:v>
                </c:pt>
                <c:pt idx="85">
                  <c:v>0.6</c:v>
                </c:pt>
                <c:pt idx="86">
                  <c:v>0.333333333333333</c:v>
                </c:pt>
                <c:pt idx="87">
                  <c:v>0.5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0.8</c:v>
                </c:pt>
                <c:pt idx="92">
                  <c:v>0.9</c:v>
                </c:pt>
                <c:pt idx="93">
                  <c:v>0.428571428571429</c:v>
                </c:pt>
                <c:pt idx="94">
                  <c:v>0.7</c:v>
                </c:pt>
                <c:pt idx="95">
                  <c:v>0.6</c:v>
                </c:pt>
                <c:pt idx="96">
                  <c:v>0.545454545454545</c:v>
                </c:pt>
                <c:pt idx="97">
                  <c:v>0.6</c:v>
                </c:pt>
                <c:pt idx="98">
                  <c:v>0.5</c:v>
                </c:pt>
                <c:pt idx="99">
                  <c:v>0.5</c:v>
                </c:pt>
                <c:pt idx="100">
                  <c:v>0.727272727272727</c:v>
                </c:pt>
                <c:pt idx="101">
                  <c:v>0.6</c:v>
                </c:pt>
                <c:pt idx="102">
                  <c:v>0.6</c:v>
                </c:pt>
                <c:pt idx="103">
                  <c:v>0.5</c:v>
                </c:pt>
                <c:pt idx="104">
                  <c:v>0.333333333333333</c:v>
                </c:pt>
                <c:pt idx="105">
                  <c:v>0.25</c:v>
                </c:pt>
                <c:pt idx="106">
                  <c:v>0.4</c:v>
                </c:pt>
                <c:pt idx="107">
                  <c:v>0.6</c:v>
                </c:pt>
                <c:pt idx="108">
                  <c:v>0.636363636363636</c:v>
                </c:pt>
                <c:pt idx="109">
                  <c:v>0.625</c:v>
                </c:pt>
                <c:pt idx="110">
                  <c:v>0.444444444444444</c:v>
                </c:pt>
                <c:pt idx="111">
                  <c:v>0.25</c:v>
                </c:pt>
                <c:pt idx="112">
                  <c:v>0.7</c:v>
                </c:pt>
                <c:pt idx="113">
                  <c:v>0.454545454545454</c:v>
                </c:pt>
                <c:pt idx="114">
                  <c:v>0.625</c:v>
                </c:pt>
                <c:pt idx="115">
                  <c:v>0.857142857142857</c:v>
                </c:pt>
                <c:pt idx="116">
                  <c:v>0.666666666666667</c:v>
                </c:pt>
                <c:pt idx="117">
                  <c:v>0.6</c:v>
                </c:pt>
                <c:pt idx="118">
                  <c:v>0.5</c:v>
                </c:pt>
                <c:pt idx="119">
                  <c:v>0.25</c:v>
                </c:pt>
                <c:pt idx="120">
                  <c:v>0.625</c:v>
                </c:pt>
                <c:pt idx="121">
                  <c:v>0.533333333333333</c:v>
                </c:pt>
                <c:pt idx="122">
                  <c:v>0.416666666666667</c:v>
                </c:pt>
                <c:pt idx="123">
                  <c:v>0.555555555555556</c:v>
                </c:pt>
                <c:pt idx="124">
                  <c:v>0.473684210526316</c:v>
                </c:pt>
                <c:pt idx="125">
                  <c:v>0.411764705882353</c:v>
                </c:pt>
                <c:pt idx="126">
                  <c:v>0.528301886792453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'freq_each-nsy'!$S$2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r>
                      <a:rPr lang="en-US" altLang="zh-CN" baseline="0"/>
                      <a:t>.26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0.0024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'freq_each-nsy'!$S$3:$S$132</c:f>
              <c:numCache>
                <c:formatCode>General</c:formatCode>
                <c:ptCount val="130"/>
                <c:pt idx="0">
                  <c:v>0.330733229329173</c:v>
                </c:pt>
                <c:pt idx="1">
                  <c:v>0.318289786223278</c:v>
                </c:pt>
                <c:pt idx="2">
                  <c:v>0.317436661698957</c:v>
                </c:pt>
                <c:pt idx="3">
                  <c:v>0.328125</c:v>
                </c:pt>
                <c:pt idx="4">
                  <c:v>0.356209150326797</c:v>
                </c:pt>
                <c:pt idx="5">
                  <c:v>0.306784660766962</c:v>
                </c:pt>
                <c:pt idx="6">
                  <c:v>0.314285714285714</c:v>
                </c:pt>
                <c:pt idx="7">
                  <c:v>0.309278350515464</c:v>
                </c:pt>
                <c:pt idx="8">
                  <c:v>0.34020618556701</c:v>
                </c:pt>
                <c:pt idx="9">
                  <c:v>0.244274809160305</c:v>
                </c:pt>
                <c:pt idx="10">
                  <c:v>0.339805825242718</c:v>
                </c:pt>
                <c:pt idx="11">
                  <c:v>0.358695652173913</c:v>
                </c:pt>
                <c:pt idx="12">
                  <c:v>0.3</c:v>
                </c:pt>
                <c:pt idx="13">
                  <c:v>0.328947368421053</c:v>
                </c:pt>
                <c:pt idx="14">
                  <c:v>0.271428571428571</c:v>
                </c:pt>
                <c:pt idx="15">
                  <c:v>0.327272727272727</c:v>
                </c:pt>
                <c:pt idx="16">
                  <c:v>0.245614035087719</c:v>
                </c:pt>
                <c:pt idx="17">
                  <c:v>0.25</c:v>
                </c:pt>
                <c:pt idx="18">
                  <c:v>0.410714285714286</c:v>
                </c:pt>
                <c:pt idx="19">
                  <c:v>0.216216216216216</c:v>
                </c:pt>
                <c:pt idx="20">
                  <c:v>0.3125</c:v>
                </c:pt>
                <c:pt idx="21">
                  <c:v>0.3125</c:v>
                </c:pt>
                <c:pt idx="22">
                  <c:v>0.485714285714286</c:v>
                </c:pt>
                <c:pt idx="23">
                  <c:v>0.371428571428571</c:v>
                </c:pt>
                <c:pt idx="24">
                  <c:v>0.185185185185185</c:v>
                </c:pt>
                <c:pt idx="25">
                  <c:v>0.384615384615385</c:v>
                </c:pt>
                <c:pt idx="26">
                  <c:v>0.32258064516129</c:v>
                </c:pt>
                <c:pt idx="27">
                  <c:v>0.333333333333333</c:v>
                </c:pt>
                <c:pt idx="28">
                  <c:v>0.409090909090909</c:v>
                </c:pt>
                <c:pt idx="29">
                  <c:v>0.344827586206897</c:v>
                </c:pt>
                <c:pt idx="30">
                  <c:v>0.321428571428571</c:v>
                </c:pt>
                <c:pt idx="31">
                  <c:v>0.260869565217391</c:v>
                </c:pt>
                <c:pt idx="32">
                  <c:v>0.31578947368421</c:v>
                </c:pt>
                <c:pt idx="33">
                  <c:v>0.0</c:v>
                </c:pt>
                <c:pt idx="34">
                  <c:v>0.285714285714286</c:v>
                </c:pt>
                <c:pt idx="35">
                  <c:v>0.233333333333333</c:v>
                </c:pt>
                <c:pt idx="36">
                  <c:v>0.3125</c:v>
                </c:pt>
                <c:pt idx="37">
                  <c:v>0.307692307692308</c:v>
                </c:pt>
                <c:pt idx="38">
                  <c:v>0.35</c:v>
                </c:pt>
                <c:pt idx="39">
                  <c:v>0.333333333333333</c:v>
                </c:pt>
                <c:pt idx="40">
                  <c:v>0.25</c:v>
                </c:pt>
                <c:pt idx="41">
                  <c:v>0.416666666666667</c:v>
                </c:pt>
                <c:pt idx="42">
                  <c:v>0.0833333333333333</c:v>
                </c:pt>
                <c:pt idx="43">
                  <c:v>0.384615384615385</c:v>
                </c:pt>
                <c:pt idx="44">
                  <c:v>0.461538461538462</c:v>
                </c:pt>
                <c:pt idx="45">
                  <c:v>0.666666666666667</c:v>
                </c:pt>
                <c:pt idx="46">
                  <c:v>0.4</c:v>
                </c:pt>
                <c:pt idx="47">
                  <c:v>0.411764705882353</c:v>
                </c:pt>
                <c:pt idx="48">
                  <c:v>0.466666666666667</c:v>
                </c:pt>
                <c:pt idx="49">
                  <c:v>0.2</c:v>
                </c:pt>
                <c:pt idx="50">
                  <c:v>0.0</c:v>
                </c:pt>
                <c:pt idx="51">
                  <c:v>0.5</c:v>
                </c:pt>
                <c:pt idx="52">
                  <c:v>0.272727272727273</c:v>
                </c:pt>
                <c:pt idx="53">
                  <c:v>0.434782608695652</c:v>
                </c:pt>
                <c:pt idx="54">
                  <c:v>0.461538461538462</c:v>
                </c:pt>
                <c:pt idx="55">
                  <c:v>0.384615384615385</c:v>
                </c:pt>
                <c:pt idx="56">
                  <c:v>0.285714285714286</c:v>
                </c:pt>
                <c:pt idx="57">
                  <c:v>0.266666666666667</c:v>
                </c:pt>
                <c:pt idx="58">
                  <c:v>0.375</c:v>
                </c:pt>
                <c:pt idx="59">
                  <c:v>0.25</c:v>
                </c:pt>
                <c:pt idx="60">
                  <c:v>0.454545454545454</c:v>
                </c:pt>
                <c:pt idx="61">
                  <c:v>0.545454545454545</c:v>
                </c:pt>
                <c:pt idx="62">
                  <c:v>0.4</c:v>
                </c:pt>
                <c:pt idx="63">
                  <c:v>0.4</c:v>
                </c:pt>
                <c:pt idx="64">
                  <c:v>0.625</c:v>
                </c:pt>
                <c:pt idx="65">
                  <c:v>0.4</c:v>
                </c:pt>
                <c:pt idx="66">
                  <c:v>0.571428571428571</c:v>
                </c:pt>
                <c:pt idx="67">
                  <c:v>0.307692307692308</c:v>
                </c:pt>
                <c:pt idx="68">
                  <c:v>0.444444444444444</c:v>
                </c:pt>
                <c:pt idx="69">
                  <c:v>0.571428571428571</c:v>
                </c:pt>
                <c:pt idx="70">
                  <c:v>0.5</c:v>
                </c:pt>
                <c:pt idx="71">
                  <c:v>0.25</c:v>
                </c:pt>
                <c:pt idx="72">
                  <c:v>0.615384615384615</c:v>
                </c:pt>
                <c:pt idx="73">
                  <c:v>0.166666666666667</c:v>
                </c:pt>
                <c:pt idx="74">
                  <c:v>0.625</c:v>
                </c:pt>
                <c:pt idx="75">
                  <c:v>0.7</c:v>
                </c:pt>
                <c:pt idx="76">
                  <c:v>0.428571428571429</c:v>
                </c:pt>
                <c:pt idx="77">
                  <c:v>0.357142857142857</c:v>
                </c:pt>
                <c:pt idx="78">
                  <c:v>0.5</c:v>
                </c:pt>
                <c:pt idx="79">
                  <c:v>0.25</c:v>
                </c:pt>
                <c:pt idx="80">
                  <c:v>0.4</c:v>
                </c:pt>
                <c:pt idx="81">
                  <c:v>0.375</c:v>
                </c:pt>
                <c:pt idx="82">
                  <c:v>0.0</c:v>
                </c:pt>
                <c:pt idx="83">
                  <c:v>0.333333333333333</c:v>
                </c:pt>
                <c:pt idx="84">
                  <c:v>1.0</c:v>
                </c:pt>
                <c:pt idx="85">
                  <c:v>0.4</c:v>
                </c:pt>
                <c:pt idx="86">
                  <c:v>0.666666666666667</c:v>
                </c:pt>
                <c:pt idx="87">
                  <c:v>0.5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</c:v>
                </c:pt>
                <c:pt idx="92">
                  <c:v>0.1</c:v>
                </c:pt>
                <c:pt idx="93">
                  <c:v>0.571428571428571</c:v>
                </c:pt>
                <c:pt idx="94">
                  <c:v>0.3</c:v>
                </c:pt>
                <c:pt idx="95">
                  <c:v>0.4</c:v>
                </c:pt>
                <c:pt idx="96">
                  <c:v>0.454545454545454</c:v>
                </c:pt>
                <c:pt idx="97">
                  <c:v>0.4</c:v>
                </c:pt>
                <c:pt idx="98">
                  <c:v>0.5</c:v>
                </c:pt>
                <c:pt idx="99">
                  <c:v>0.5</c:v>
                </c:pt>
                <c:pt idx="100">
                  <c:v>0.272727272727273</c:v>
                </c:pt>
                <c:pt idx="101">
                  <c:v>0.4</c:v>
                </c:pt>
                <c:pt idx="102">
                  <c:v>0.4</c:v>
                </c:pt>
                <c:pt idx="103">
                  <c:v>0.5</c:v>
                </c:pt>
                <c:pt idx="104">
                  <c:v>0.666666666666667</c:v>
                </c:pt>
                <c:pt idx="105">
                  <c:v>0.75</c:v>
                </c:pt>
                <c:pt idx="106">
                  <c:v>0.6</c:v>
                </c:pt>
                <c:pt idx="107">
                  <c:v>0.4</c:v>
                </c:pt>
                <c:pt idx="108">
                  <c:v>0.363636363636364</c:v>
                </c:pt>
                <c:pt idx="109">
                  <c:v>0.375</c:v>
                </c:pt>
                <c:pt idx="110">
                  <c:v>0.555555555555556</c:v>
                </c:pt>
                <c:pt idx="111">
                  <c:v>0.75</c:v>
                </c:pt>
                <c:pt idx="112">
                  <c:v>0.3</c:v>
                </c:pt>
                <c:pt idx="113">
                  <c:v>0.545454545454545</c:v>
                </c:pt>
                <c:pt idx="114">
                  <c:v>0.375</c:v>
                </c:pt>
                <c:pt idx="115">
                  <c:v>0.142857142857143</c:v>
                </c:pt>
                <c:pt idx="116">
                  <c:v>0.333333333333333</c:v>
                </c:pt>
                <c:pt idx="117">
                  <c:v>0.4</c:v>
                </c:pt>
                <c:pt idx="118">
                  <c:v>0.5</c:v>
                </c:pt>
                <c:pt idx="119">
                  <c:v>0.75</c:v>
                </c:pt>
                <c:pt idx="120">
                  <c:v>0.375</c:v>
                </c:pt>
                <c:pt idx="121">
                  <c:v>0.466666666666667</c:v>
                </c:pt>
                <c:pt idx="122">
                  <c:v>0.583333333333333</c:v>
                </c:pt>
                <c:pt idx="123">
                  <c:v>0.444444444444444</c:v>
                </c:pt>
                <c:pt idx="124">
                  <c:v>0.526315789473684</c:v>
                </c:pt>
                <c:pt idx="125">
                  <c:v>0.588235294117647</c:v>
                </c:pt>
                <c:pt idx="126">
                  <c:v>0.471698113207547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44640"/>
        <c:axId val="2136750176"/>
      </c:scatterChart>
      <c:valAx>
        <c:axId val="2136744640"/>
        <c:scaling>
          <c:orientation val="minMax"/>
          <c:max val="14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750176"/>
        <c:crosses val="autoZero"/>
        <c:crossBetween val="midCat"/>
        <c:majorUnit val="20.0"/>
      </c:valAx>
      <c:valAx>
        <c:axId val="213675017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744640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'freq_10-cds_stem_length_10'!$B$27:$P$27</c:f>
              <c:numCache>
                <c:formatCode>General</c:formatCode>
                <c:ptCount val="15"/>
                <c:pt idx="0">
                  <c:v>16.35</c:v>
                </c:pt>
                <c:pt idx="1">
                  <c:v>9.36</c:v>
                </c:pt>
                <c:pt idx="2">
                  <c:v>7.55</c:v>
                </c:pt>
                <c:pt idx="3">
                  <c:v>3.89</c:v>
                </c:pt>
                <c:pt idx="4">
                  <c:v>2.52</c:v>
                </c:pt>
                <c:pt idx="5">
                  <c:v>1.55</c:v>
                </c:pt>
                <c:pt idx="6">
                  <c:v>2.31</c:v>
                </c:pt>
                <c:pt idx="7">
                  <c:v>2.11</c:v>
                </c:pt>
                <c:pt idx="8">
                  <c:v>1.87</c:v>
                </c:pt>
                <c:pt idx="9">
                  <c:v>1.62</c:v>
                </c:pt>
                <c:pt idx="10">
                  <c:v>1.49</c:v>
                </c:pt>
                <c:pt idx="11">
                  <c:v>2.59</c:v>
                </c:pt>
                <c:pt idx="12">
                  <c:v>1.96</c:v>
                </c:pt>
                <c:pt idx="13">
                  <c:v>1.2</c:v>
                </c:pt>
                <c:pt idx="14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88800"/>
        <c:axId val="2136797344"/>
      </c:scatterChart>
      <c:valAx>
        <c:axId val="2136788800"/>
        <c:scaling>
          <c:orientation val="minMax"/>
          <c:max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stem_length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797344"/>
        <c:crosses val="autoZero"/>
        <c:crossBetween val="midCat"/>
        <c:majorUnit val="1.0"/>
      </c:valAx>
      <c:valAx>
        <c:axId val="2136797344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γ</a:t>
                </a:r>
                <a:r>
                  <a:rPr lang="zh-CN" altLang="en-US"/>
                  <a:t> </a:t>
                </a:r>
                <a:r>
                  <a:rPr lang="en-US" altLang="zh-CN"/>
                  <a:t>(A/T</a:t>
                </a:r>
                <a:r>
                  <a:rPr lang="zh-CN" altLang="en-US"/>
                  <a:t>→</a:t>
                </a:r>
                <a:r>
                  <a:rPr lang="en-US" altLang="zh-CN"/>
                  <a:t>G/C)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7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'freq_10-cds_stem_length_10'!$B$92:$P$92</c:f>
              <c:numCache>
                <c:formatCode>General</c:formatCode>
                <c:ptCount val="15"/>
                <c:pt idx="0">
                  <c:v>-0.37</c:v>
                </c:pt>
                <c:pt idx="1">
                  <c:v>-0.37</c:v>
                </c:pt>
                <c:pt idx="2">
                  <c:v>-0.7</c:v>
                </c:pt>
                <c:pt idx="3">
                  <c:v>-0.33</c:v>
                </c:pt>
                <c:pt idx="4">
                  <c:v>-0.33</c:v>
                </c:pt>
                <c:pt idx="5">
                  <c:v>-0.37</c:v>
                </c:pt>
                <c:pt idx="6">
                  <c:v>-0.02</c:v>
                </c:pt>
                <c:pt idx="7">
                  <c:v>0.07</c:v>
                </c:pt>
                <c:pt idx="8">
                  <c:v>0.07</c:v>
                </c:pt>
                <c:pt idx="9">
                  <c:v>0.14</c:v>
                </c:pt>
                <c:pt idx="10">
                  <c:v>-0.46</c:v>
                </c:pt>
                <c:pt idx="11">
                  <c:v>-0.33</c:v>
                </c:pt>
                <c:pt idx="12">
                  <c:v>-0.15</c:v>
                </c:pt>
                <c:pt idx="13">
                  <c:v>0.21</c:v>
                </c:pt>
                <c:pt idx="14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37776"/>
        <c:axId val="2136846224"/>
      </c:scatterChart>
      <c:valAx>
        <c:axId val="2136837776"/>
        <c:scaling>
          <c:orientation val="minMax"/>
          <c:max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stem_length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846224"/>
        <c:crosses val="autoZero"/>
        <c:crossBetween val="midCat"/>
        <c:majorUnit val="1.0"/>
      </c:valAx>
      <c:valAx>
        <c:axId val="2136846224"/>
        <c:scaling>
          <c:orientation val="minMax"/>
          <c:max val="2.0"/>
          <c:min val="-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γ</a:t>
                </a:r>
                <a:r>
                  <a:rPr lang="zh-CN" altLang="en-US"/>
                  <a:t> </a:t>
                </a:r>
                <a:r>
                  <a:rPr lang="en-US" altLang="zh-CN"/>
                  <a:t>(</a:t>
                </a:r>
                <a:r>
                  <a:rPr lang="mr-IN" altLang="zh-CN" sz="1000" b="0" i="0" u="none" strike="noStrike" baseline="0">
                    <a:effectLst/>
                  </a:rPr>
                  <a:t>G/C</a:t>
                </a:r>
                <a:r>
                  <a:rPr lang="mr-IN" altLang="zh-CN" sz="1000" b="0" i="0" u="none" strike="noStrike" baseline="0"/>
                  <a:t> </a:t>
                </a:r>
                <a:r>
                  <a:rPr lang="zh-CN" altLang="en-US"/>
                  <a:t>→</a:t>
                </a:r>
                <a:r>
                  <a:rPr lang="mr-IN" altLang="zh-CN" sz="1000" b="0" i="0" u="none" strike="noStrike" baseline="0">
                    <a:effectLst/>
                  </a:rPr>
                  <a:t>A/T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837776"/>
        <c:crosses val="autoZero"/>
        <c:crossBetween val="midCat"/>
        <c:majorUnit val="0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'freq_10-cds_loop_length_10'!$B$27:$P$27</c:f>
              <c:numCache>
                <c:formatCode>General</c:formatCode>
                <c:ptCount val="15"/>
                <c:pt idx="0">
                  <c:v>1.48</c:v>
                </c:pt>
                <c:pt idx="1">
                  <c:v>1.18</c:v>
                </c:pt>
                <c:pt idx="2">
                  <c:v>0.48</c:v>
                </c:pt>
                <c:pt idx="3">
                  <c:v>1.11</c:v>
                </c:pt>
                <c:pt idx="4">
                  <c:v>0.62</c:v>
                </c:pt>
                <c:pt idx="5">
                  <c:v>0.62</c:v>
                </c:pt>
                <c:pt idx="6">
                  <c:v>0.64</c:v>
                </c:pt>
                <c:pt idx="7">
                  <c:v>0.47</c:v>
                </c:pt>
                <c:pt idx="8">
                  <c:v>0.87</c:v>
                </c:pt>
                <c:pt idx="9">
                  <c:v>0.18</c:v>
                </c:pt>
                <c:pt idx="10">
                  <c:v>1.05</c:v>
                </c:pt>
                <c:pt idx="11">
                  <c:v>1.39</c:v>
                </c:pt>
                <c:pt idx="12">
                  <c:v>-0.11</c:v>
                </c:pt>
                <c:pt idx="13">
                  <c:v>-0.08</c:v>
                </c:pt>
                <c:pt idx="14">
                  <c:v>-0.02</c:v>
                </c:pt>
              </c:numCache>
            </c:numRef>
          </c:yVal>
          <c:smooth val="0"/>
        </c:ser>
        <c:ser>
          <c:idx val="0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'freq_10-cds_loop_length_10'!$B$27:$P$27</c:f>
              <c:numCache>
                <c:formatCode>General</c:formatCode>
                <c:ptCount val="15"/>
                <c:pt idx="0">
                  <c:v>1.48</c:v>
                </c:pt>
                <c:pt idx="1">
                  <c:v>1.18</c:v>
                </c:pt>
                <c:pt idx="2">
                  <c:v>0.48</c:v>
                </c:pt>
                <c:pt idx="3">
                  <c:v>1.11</c:v>
                </c:pt>
                <c:pt idx="4">
                  <c:v>0.62</c:v>
                </c:pt>
                <c:pt idx="5">
                  <c:v>0.62</c:v>
                </c:pt>
                <c:pt idx="6">
                  <c:v>0.64</c:v>
                </c:pt>
                <c:pt idx="7">
                  <c:v>0.47</c:v>
                </c:pt>
                <c:pt idx="8">
                  <c:v>0.87</c:v>
                </c:pt>
                <c:pt idx="9">
                  <c:v>0.18</c:v>
                </c:pt>
                <c:pt idx="10">
                  <c:v>1.05</c:v>
                </c:pt>
                <c:pt idx="11">
                  <c:v>1.39</c:v>
                </c:pt>
                <c:pt idx="12">
                  <c:v>-0.11</c:v>
                </c:pt>
                <c:pt idx="13">
                  <c:v>-0.08</c:v>
                </c:pt>
                <c:pt idx="14">
                  <c:v>-0.02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04768"/>
        <c:axId val="2136913184"/>
      </c:scatterChart>
      <c:valAx>
        <c:axId val="2136904768"/>
        <c:scaling>
          <c:orientation val="minMax"/>
          <c:max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loop_length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913184"/>
        <c:crosses val="autoZero"/>
        <c:crossBetween val="midCat"/>
        <c:majorUnit val="1.0"/>
      </c:valAx>
      <c:valAx>
        <c:axId val="2136913184"/>
        <c:scaling>
          <c:orientation val="minMax"/>
          <c:max val="2.0"/>
          <c:min val="-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γ</a:t>
                </a:r>
                <a:r>
                  <a:rPr lang="zh-CN" altLang="en-US"/>
                  <a:t> </a:t>
                </a:r>
                <a:r>
                  <a:rPr lang="en-US" altLang="zh-CN"/>
                  <a:t>(A/T</a:t>
                </a:r>
                <a:r>
                  <a:rPr lang="zh-CN" altLang="en-US"/>
                  <a:t>→</a:t>
                </a:r>
                <a:r>
                  <a:rPr lang="en-US" altLang="zh-CN"/>
                  <a:t>G/C)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904768"/>
        <c:crosses val="autoZero"/>
        <c:crossBetween val="midCat"/>
        <c:majorUnit val="0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'freq_10-cds_loop_length_10'!$B$92:$P$92</c:f>
              <c:numCache>
                <c:formatCode>General</c:formatCode>
                <c:ptCount val="15"/>
                <c:pt idx="0">
                  <c:v>0.08</c:v>
                </c:pt>
                <c:pt idx="1">
                  <c:v>0.24</c:v>
                </c:pt>
                <c:pt idx="2">
                  <c:v>0.87</c:v>
                </c:pt>
                <c:pt idx="3">
                  <c:v>0.31</c:v>
                </c:pt>
                <c:pt idx="4">
                  <c:v>0.68</c:v>
                </c:pt>
                <c:pt idx="5">
                  <c:v>0.98</c:v>
                </c:pt>
                <c:pt idx="6">
                  <c:v>0.53</c:v>
                </c:pt>
                <c:pt idx="7">
                  <c:v>0.55</c:v>
                </c:pt>
                <c:pt idx="8">
                  <c:v>1.06</c:v>
                </c:pt>
                <c:pt idx="9">
                  <c:v>1.43</c:v>
                </c:pt>
                <c:pt idx="10">
                  <c:v>0.42</c:v>
                </c:pt>
                <c:pt idx="11">
                  <c:v>0.68</c:v>
                </c:pt>
                <c:pt idx="12">
                  <c:v>1.6</c:v>
                </c:pt>
                <c:pt idx="13">
                  <c:v>-0.19</c:v>
                </c:pt>
                <c:pt idx="14">
                  <c:v>0.87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41344"/>
        <c:axId val="2136949792"/>
      </c:scatterChart>
      <c:valAx>
        <c:axId val="2136941344"/>
        <c:scaling>
          <c:orientation val="minMax"/>
          <c:max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loop_length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949792"/>
        <c:crosses val="autoZero"/>
        <c:crossBetween val="midCat"/>
        <c:majorUnit val="1.0"/>
      </c:valAx>
      <c:valAx>
        <c:axId val="2136949792"/>
        <c:scaling>
          <c:orientation val="minMax"/>
          <c:max val="2.0"/>
          <c:min val="-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γ</a:t>
                </a:r>
                <a:r>
                  <a:rPr lang="zh-CN" altLang="en-US"/>
                  <a:t> </a:t>
                </a:r>
                <a:r>
                  <a:rPr lang="en-US" altLang="zh-CN"/>
                  <a:t>(</a:t>
                </a:r>
                <a:r>
                  <a:rPr lang="mr-IN" altLang="zh-CN" sz="1000" b="0" i="0" u="none" strike="noStrike" baseline="0">
                    <a:effectLst/>
                  </a:rPr>
                  <a:t>G/C</a:t>
                </a:r>
                <a:r>
                  <a:rPr lang="zh-CN" altLang="en-US"/>
                  <a:t>→</a:t>
                </a:r>
                <a:r>
                  <a:rPr lang="mr-IN" altLang="zh-CN" sz="1000" b="0" i="0" u="none" strike="noStrike" baseline="0">
                    <a:effectLst/>
                  </a:rPr>
                  <a:t>A/T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941344"/>
        <c:crosses val="autoZero"/>
        <c:crossBetween val="midCat"/>
        <c:majorUnit val="0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pic_freq_10!$R$1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pic_freq_10!$R$2:$R$11</c:f>
              <c:numCache>
                <c:formatCode>General</c:formatCode>
                <c:ptCount val="10"/>
                <c:pt idx="0">
                  <c:v>0.380130675154967</c:v>
                </c:pt>
                <c:pt idx="1">
                  <c:v>0.0894622214776344</c:v>
                </c:pt>
                <c:pt idx="2">
                  <c:v>0.0619869324845033</c:v>
                </c:pt>
                <c:pt idx="3">
                  <c:v>0.0477466912380633</c:v>
                </c:pt>
                <c:pt idx="4">
                  <c:v>0.0457363042385659</c:v>
                </c:pt>
                <c:pt idx="5">
                  <c:v>0.0510973362372257</c:v>
                </c:pt>
                <c:pt idx="6">
                  <c:v>0.0393700787401575</c:v>
                </c:pt>
                <c:pt idx="7">
                  <c:v>0.0442285139889429</c:v>
                </c:pt>
                <c:pt idx="8">
                  <c:v>0.0608142067347964</c:v>
                </c:pt>
                <c:pt idx="9">
                  <c:v>0.179427039705143</c:v>
                </c:pt>
              </c:numCache>
            </c:numRef>
          </c:val>
        </c:ser>
        <c:ser>
          <c:idx val="1"/>
          <c:order val="1"/>
          <c:tx>
            <c:strRef>
              <c:f>pic_freq_10!$S$1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pic_freq_10!$S$2:$S$11</c:f>
              <c:numCache>
                <c:formatCode>General</c:formatCode>
                <c:ptCount val="10"/>
                <c:pt idx="0">
                  <c:v>0.433129985922102</c:v>
                </c:pt>
                <c:pt idx="1">
                  <c:v>0.0980760206475833</c:v>
                </c:pt>
                <c:pt idx="2">
                  <c:v>0.0668700140778977</c:v>
                </c:pt>
                <c:pt idx="3">
                  <c:v>0.0506804317221961</c:v>
                </c:pt>
                <c:pt idx="4">
                  <c:v>0.0436414828718911</c:v>
                </c:pt>
                <c:pt idx="5">
                  <c:v>0.0443453777569216</c:v>
                </c:pt>
                <c:pt idx="6">
                  <c:v>0.0302674800563116</c:v>
                </c:pt>
                <c:pt idx="7">
                  <c:v>0.0368371656499296</c:v>
                </c:pt>
                <c:pt idx="8">
                  <c:v>0.0511496949788831</c:v>
                </c:pt>
                <c:pt idx="9">
                  <c:v>0.145002346316283</c:v>
                </c:pt>
              </c:numCache>
            </c:numRef>
          </c:val>
        </c:ser>
        <c:ser>
          <c:idx val="2"/>
          <c:order val="2"/>
          <c:tx>
            <c:strRef>
              <c:f>pic_freq_10!$T$1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pic_freq_10!$T$2:$T$11</c:f>
              <c:numCache>
                <c:formatCode>General</c:formatCode>
                <c:ptCount val="10"/>
                <c:pt idx="0">
                  <c:v>0.497107669341295</c:v>
                </c:pt>
                <c:pt idx="1">
                  <c:v>0.0953536107482739</c:v>
                </c:pt>
                <c:pt idx="2">
                  <c:v>0.0602724388878522</c:v>
                </c:pt>
                <c:pt idx="3">
                  <c:v>0.0468370964732226</c:v>
                </c:pt>
                <c:pt idx="4">
                  <c:v>0.0416122410897555</c:v>
                </c:pt>
                <c:pt idx="5">
                  <c:v>0.0367605896622504</c:v>
                </c:pt>
                <c:pt idx="6">
                  <c:v>0.0360141817503265</c:v>
                </c:pt>
                <c:pt idx="7">
                  <c:v>0.0384400074640791</c:v>
                </c:pt>
                <c:pt idx="8">
                  <c:v>0.044784474715432</c:v>
                </c:pt>
                <c:pt idx="9">
                  <c:v>0.102817689867513</c:v>
                </c:pt>
              </c:numCache>
            </c:numRef>
          </c:val>
        </c:ser>
        <c:ser>
          <c:idx val="3"/>
          <c:order val="3"/>
          <c:tx>
            <c:strRef>
              <c:f>pic_freq_10!$U$1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pic_freq_10!$U$2:$U$11</c:f>
              <c:numCache>
                <c:formatCode>General</c:formatCode>
                <c:ptCount val="10"/>
                <c:pt idx="0">
                  <c:v>0.44571261340357</c:v>
                </c:pt>
                <c:pt idx="1">
                  <c:v>0.0892595844307872</c:v>
                </c:pt>
                <c:pt idx="2">
                  <c:v>0.0588235294117647</c:v>
                </c:pt>
                <c:pt idx="3">
                  <c:v>0.0488732806555458</c:v>
                </c:pt>
                <c:pt idx="4">
                  <c:v>0.0468247000292654</c:v>
                </c:pt>
                <c:pt idx="5">
                  <c:v>0.0459467369037167</c:v>
                </c:pt>
                <c:pt idx="6">
                  <c:v>0.0400936494000585</c:v>
                </c:pt>
                <c:pt idx="7">
                  <c:v>0.0517998244073749</c:v>
                </c:pt>
                <c:pt idx="8">
                  <c:v>0.0503365525314603</c:v>
                </c:pt>
                <c:pt idx="9">
                  <c:v>0.122329528826456</c:v>
                </c:pt>
              </c:numCache>
            </c:numRef>
          </c:val>
        </c:ser>
        <c:ser>
          <c:idx val="4"/>
          <c:order val="4"/>
          <c:tx>
            <c:strRef>
              <c:f>pic_freq_10!$V$1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pic_freq_10!$V$2:$V$11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307520"/>
        <c:axId val="2136314144"/>
      </c:barChart>
      <c:catAx>
        <c:axId val="21363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314144"/>
        <c:crosses val="autoZero"/>
        <c:auto val="1"/>
        <c:lblAlgn val="ctr"/>
        <c:lblOffset val="100"/>
        <c:noMultiLvlLbl val="0"/>
      </c:catAx>
      <c:valAx>
        <c:axId val="213631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3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GO_CC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4242"/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'freq_10-cds_GO'!$B$2:$Q$2</c:f>
              <c:strCache>
                <c:ptCount val="16"/>
                <c:pt idx="0">
                  <c:v>GO:0005783</c:v>
                </c:pt>
                <c:pt idx="1">
                  <c:v>GO:0005789</c:v>
                </c:pt>
                <c:pt idx="2">
                  <c:v>GO:0016021</c:v>
                </c:pt>
                <c:pt idx="3">
                  <c:v>GO:0016020</c:v>
                </c:pt>
                <c:pt idx="4">
                  <c:v>GO:0005739</c:v>
                </c:pt>
                <c:pt idx="5">
                  <c:v>GO:0010494</c:v>
                </c:pt>
                <c:pt idx="6">
                  <c:v>GO:0005741</c:v>
                </c:pt>
                <c:pt idx="7">
                  <c:v>GO:0005737</c:v>
                </c:pt>
                <c:pt idx="8">
                  <c:v>GO:0005743</c:v>
                </c:pt>
                <c:pt idx="9">
                  <c:v>GO:0030176</c:v>
                </c:pt>
                <c:pt idx="10">
                  <c:v>GO:0000139</c:v>
                </c:pt>
                <c:pt idx="11">
                  <c:v>GO:0000329</c:v>
                </c:pt>
                <c:pt idx="12">
                  <c:v>GO:0000502</c:v>
                </c:pt>
                <c:pt idx="13">
                  <c:v>GO:0005794</c:v>
                </c:pt>
                <c:pt idx="14">
                  <c:v>GO:0005654</c:v>
                </c:pt>
                <c:pt idx="15">
                  <c:v>GO:0005758</c:v>
                </c:pt>
              </c:strCache>
            </c:strRef>
          </c:cat>
          <c:val>
            <c:numRef>
              <c:f>'freq_10-cds_GO'!$B$30:$Q$30</c:f>
              <c:numCache>
                <c:formatCode>General</c:formatCode>
                <c:ptCount val="16"/>
                <c:pt idx="0">
                  <c:v>1.72</c:v>
                </c:pt>
                <c:pt idx="1">
                  <c:v>1.62</c:v>
                </c:pt>
                <c:pt idx="2">
                  <c:v>2.83</c:v>
                </c:pt>
                <c:pt idx="3">
                  <c:v>3.1</c:v>
                </c:pt>
                <c:pt idx="4">
                  <c:v>3.37</c:v>
                </c:pt>
                <c:pt idx="5">
                  <c:v>2.54</c:v>
                </c:pt>
                <c:pt idx="6">
                  <c:v>1.9</c:v>
                </c:pt>
                <c:pt idx="7">
                  <c:v>3.03</c:v>
                </c:pt>
                <c:pt idx="8">
                  <c:v>10.22</c:v>
                </c:pt>
                <c:pt idx="9">
                  <c:v>1.3</c:v>
                </c:pt>
                <c:pt idx="10">
                  <c:v>3.04</c:v>
                </c:pt>
                <c:pt idx="11">
                  <c:v>1.96</c:v>
                </c:pt>
                <c:pt idx="12">
                  <c:v>0.98</c:v>
                </c:pt>
                <c:pt idx="13">
                  <c:v>1.87</c:v>
                </c:pt>
                <c:pt idx="14">
                  <c:v>3.86</c:v>
                </c:pt>
                <c:pt idx="15">
                  <c:v>12.85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35957232"/>
        <c:axId val="2135960576"/>
      </c:barChart>
      <c:catAx>
        <c:axId val="213595723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6350" cap="flat" cmpd="sng" algn="ctr">
            <a:solidFill>
              <a:srgbClr val="42424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5960576"/>
        <c:crosses val="autoZero"/>
        <c:auto val="1"/>
        <c:lblAlgn val="ctr"/>
        <c:lblOffset val="100"/>
        <c:noMultiLvlLbl val="0"/>
      </c:catAx>
      <c:valAx>
        <c:axId val="2135960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24242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γ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24242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42424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59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424242"/>
          </a:solidFill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GO_</a:t>
            </a:r>
            <a:r>
              <a:rPr lang="en-US" altLang="zh-CN"/>
              <a:t>BP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4242"/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'freq_10-cds_GO'!$B$36:$Q$36</c:f>
              <c:strCache>
                <c:ptCount val="16"/>
                <c:pt idx="0">
                  <c:v>GO:0055114</c:v>
                </c:pt>
                <c:pt idx="1">
                  <c:v>GO:0006810</c:v>
                </c:pt>
                <c:pt idx="2">
                  <c:v>GO:0016126</c:v>
                </c:pt>
                <c:pt idx="3">
                  <c:v>GO:0006696</c:v>
                </c:pt>
                <c:pt idx="4">
                  <c:v>GO:0006626</c:v>
                </c:pt>
                <c:pt idx="5">
                  <c:v>GO:0006694</c:v>
                </c:pt>
                <c:pt idx="6">
                  <c:v>GO:0006606</c:v>
                </c:pt>
                <c:pt idx="7">
                  <c:v>GO:0008202</c:v>
                </c:pt>
                <c:pt idx="8">
                  <c:v>GO:0030150</c:v>
                </c:pt>
                <c:pt idx="9">
                  <c:v>GO:0030433</c:v>
                </c:pt>
                <c:pt idx="10">
                  <c:v>GO:0006457</c:v>
                </c:pt>
                <c:pt idx="11">
                  <c:v>GO:0006486</c:v>
                </c:pt>
                <c:pt idx="12">
                  <c:v>GO:0006487</c:v>
                </c:pt>
                <c:pt idx="13">
                  <c:v>GO:0006629</c:v>
                </c:pt>
                <c:pt idx="14">
                  <c:v>GO:0042254</c:v>
                </c:pt>
                <c:pt idx="15">
                  <c:v>GO:0009058</c:v>
                </c:pt>
              </c:strCache>
            </c:strRef>
          </c:cat>
          <c:val>
            <c:numRef>
              <c:f>'freq_10-cds_GO'!$B$64:$Q$64</c:f>
              <c:numCache>
                <c:formatCode>General</c:formatCode>
                <c:ptCount val="16"/>
                <c:pt idx="0">
                  <c:v>2.45</c:v>
                </c:pt>
                <c:pt idx="1">
                  <c:v>3.32</c:v>
                </c:pt>
                <c:pt idx="2">
                  <c:v>1.21</c:v>
                </c:pt>
                <c:pt idx="3">
                  <c:v>1.2</c:v>
                </c:pt>
                <c:pt idx="4">
                  <c:v>13.38</c:v>
                </c:pt>
                <c:pt idx="5">
                  <c:v>0.42</c:v>
                </c:pt>
                <c:pt idx="6">
                  <c:v>8.94</c:v>
                </c:pt>
                <c:pt idx="7">
                  <c:v>1.26</c:v>
                </c:pt>
                <c:pt idx="8">
                  <c:v>21.27</c:v>
                </c:pt>
                <c:pt idx="9">
                  <c:v>1.87</c:v>
                </c:pt>
                <c:pt idx="10">
                  <c:v>8.85</c:v>
                </c:pt>
                <c:pt idx="11">
                  <c:v>1.04</c:v>
                </c:pt>
                <c:pt idx="12">
                  <c:v>1.87</c:v>
                </c:pt>
                <c:pt idx="13">
                  <c:v>2.16</c:v>
                </c:pt>
                <c:pt idx="14">
                  <c:v>3.47</c:v>
                </c:pt>
                <c:pt idx="15">
                  <c:v>1.04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35996016"/>
        <c:axId val="-2136470064"/>
      </c:barChart>
      <c:catAx>
        <c:axId val="213599601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6350" cap="flat" cmpd="sng" algn="ctr">
            <a:solidFill>
              <a:srgbClr val="42424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6470064"/>
        <c:crosses val="autoZero"/>
        <c:auto val="1"/>
        <c:lblAlgn val="ctr"/>
        <c:lblOffset val="100"/>
        <c:noMultiLvlLbl val="0"/>
      </c:catAx>
      <c:valAx>
        <c:axId val="-213647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24242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γ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24242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42424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599601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424242"/>
          </a:solidFill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GO_</a:t>
            </a:r>
            <a:r>
              <a:rPr lang="en-US" altLang="zh-CN"/>
              <a:t>MF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4242"/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'freq_10-cds_GO'!$B$70:$Q$70</c:f>
              <c:strCache>
                <c:ptCount val="16"/>
                <c:pt idx="0">
                  <c:v>GO:0016491</c:v>
                </c:pt>
                <c:pt idx="1">
                  <c:v>GO:0003899</c:v>
                </c:pt>
                <c:pt idx="2">
                  <c:v>GO:0016757</c:v>
                </c:pt>
                <c:pt idx="3">
                  <c:v>GO:0003824</c:v>
                </c:pt>
                <c:pt idx="4">
                  <c:v>GO:0016740</c:v>
                </c:pt>
                <c:pt idx="5">
                  <c:v>GO:0016853</c:v>
                </c:pt>
                <c:pt idx="6">
                  <c:v>GO:0015266</c:v>
                </c:pt>
                <c:pt idx="7">
                  <c:v>GO:0001056</c:v>
                </c:pt>
                <c:pt idx="8">
                  <c:v>GO:0008237</c:v>
                </c:pt>
                <c:pt idx="9">
                  <c:v>GO:0070273</c:v>
                </c:pt>
                <c:pt idx="10">
                  <c:v>GO:0003729</c:v>
                </c:pt>
                <c:pt idx="11">
                  <c:v>GO:0000287</c:v>
                </c:pt>
                <c:pt idx="12">
                  <c:v>GO:0030170</c:v>
                </c:pt>
                <c:pt idx="13">
                  <c:v>GO:0017056</c:v>
                </c:pt>
                <c:pt idx="14">
                  <c:v>GO:0051082</c:v>
                </c:pt>
                <c:pt idx="15">
                  <c:v>GO:0005525</c:v>
                </c:pt>
              </c:strCache>
            </c:strRef>
          </c:cat>
          <c:val>
            <c:numRef>
              <c:f>'freq_10-cds_GO'!$B$98:$Q$98</c:f>
              <c:numCache>
                <c:formatCode>General</c:formatCode>
                <c:ptCount val="16"/>
                <c:pt idx="0">
                  <c:v>2.45</c:v>
                </c:pt>
                <c:pt idx="1">
                  <c:v>3.86</c:v>
                </c:pt>
                <c:pt idx="2">
                  <c:v>3.33</c:v>
                </c:pt>
                <c:pt idx="3">
                  <c:v>1.35</c:v>
                </c:pt>
                <c:pt idx="4">
                  <c:v>2.67</c:v>
                </c:pt>
                <c:pt idx="5">
                  <c:v>1.14</c:v>
                </c:pt>
                <c:pt idx="6">
                  <c:v>8.02</c:v>
                </c:pt>
                <c:pt idx="7">
                  <c:v>15.35</c:v>
                </c:pt>
                <c:pt idx="8">
                  <c:v>5.19</c:v>
                </c:pt>
                <c:pt idx="9">
                  <c:v>17.85</c:v>
                </c:pt>
                <c:pt idx="10">
                  <c:v>3.06</c:v>
                </c:pt>
                <c:pt idx="11">
                  <c:v>1.96</c:v>
                </c:pt>
                <c:pt idx="12">
                  <c:v>1.96</c:v>
                </c:pt>
                <c:pt idx="13">
                  <c:v>3.89</c:v>
                </c:pt>
                <c:pt idx="14">
                  <c:v>14.39</c:v>
                </c:pt>
                <c:pt idx="15">
                  <c:v>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36437360"/>
        <c:axId val="-2136434016"/>
      </c:barChart>
      <c:catAx>
        <c:axId val="-213643736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6350" cap="flat" cmpd="sng" algn="ctr">
            <a:solidFill>
              <a:srgbClr val="42424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6434016"/>
        <c:crosses val="autoZero"/>
        <c:auto val="1"/>
        <c:lblAlgn val="ctr"/>
        <c:lblOffset val="100"/>
        <c:noMultiLvlLbl val="0"/>
      </c:catAx>
      <c:valAx>
        <c:axId val="-213643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24242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γ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24242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42424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643736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424242"/>
          </a:solidFill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altLang="zh-CN"/>
              <a:t>KEGG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4242"/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'freq_10-cds_KEGG'!$B$2:$AG$2</c:f>
              <c:strCache>
                <c:ptCount val="32"/>
                <c:pt idx="0">
                  <c:v>sce01100</c:v>
                </c:pt>
                <c:pt idx="1">
                  <c:v>sce01130</c:v>
                </c:pt>
                <c:pt idx="2">
                  <c:v>sce01110</c:v>
                </c:pt>
                <c:pt idx="3">
                  <c:v>sce00230</c:v>
                </c:pt>
                <c:pt idx="4">
                  <c:v>sce00240</c:v>
                </c:pt>
                <c:pt idx="5">
                  <c:v>sce01230</c:v>
                </c:pt>
                <c:pt idx="6">
                  <c:v>sce01200</c:v>
                </c:pt>
                <c:pt idx="7">
                  <c:v>sce03020</c:v>
                </c:pt>
                <c:pt idx="8">
                  <c:v>sce00260</c:v>
                </c:pt>
                <c:pt idx="9">
                  <c:v>sce00190</c:v>
                </c:pt>
                <c:pt idx="10">
                  <c:v>sce03050</c:v>
                </c:pt>
                <c:pt idx="11">
                  <c:v>sce00510</c:v>
                </c:pt>
                <c:pt idx="12">
                  <c:v>sce00100</c:v>
                </c:pt>
                <c:pt idx="13">
                  <c:v>sce00900</c:v>
                </c:pt>
                <c:pt idx="14">
                  <c:v>sce04141</c:v>
                </c:pt>
                <c:pt idx="15">
                  <c:v>sce00513</c:v>
                </c:pt>
                <c:pt idx="16">
                  <c:v>sce00860</c:v>
                </c:pt>
                <c:pt idx="17">
                  <c:v>sce00330</c:v>
                </c:pt>
                <c:pt idx="18">
                  <c:v>sce03013</c:v>
                </c:pt>
                <c:pt idx="19">
                  <c:v>sce00270</c:v>
                </c:pt>
                <c:pt idx="20">
                  <c:v>sce00020</c:v>
                </c:pt>
                <c:pt idx="21">
                  <c:v>sce01210</c:v>
                </c:pt>
                <c:pt idx="22">
                  <c:v>sce00010</c:v>
                </c:pt>
                <c:pt idx="23">
                  <c:v>sce00680</c:v>
                </c:pt>
                <c:pt idx="24">
                  <c:v>sce00620</c:v>
                </c:pt>
                <c:pt idx="25">
                  <c:v>sce03060</c:v>
                </c:pt>
                <c:pt idx="26">
                  <c:v>sce00600</c:v>
                </c:pt>
                <c:pt idx="27">
                  <c:v>sce03008</c:v>
                </c:pt>
                <c:pt idx="28">
                  <c:v>sce00563</c:v>
                </c:pt>
                <c:pt idx="29">
                  <c:v>sce00250</c:v>
                </c:pt>
                <c:pt idx="30">
                  <c:v>sce00400</c:v>
                </c:pt>
                <c:pt idx="31">
                  <c:v>sce03030</c:v>
                </c:pt>
              </c:strCache>
            </c:strRef>
          </c:cat>
          <c:val>
            <c:numRef>
              <c:f>'freq_10-cds_KEGG'!$B$30:$AG$30</c:f>
              <c:numCache>
                <c:formatCode>General</c:formatCode>
                <c:ptCount val="32"/>
                <c:pt idx="0">
                  <c:v>1.87</c:v>
                </c:pt>
                <c:pt idx="1">
                  <c:v>1.05</c:v>
                </c:pt>
                <c:pt idx="2">
                  <c:v>1.47</c:v>
                </c:pt>
                <c:pt idx="3">
                  <c:v>2.57</c:v>
                </c:pt>
                <c:pt idx="4">
                  <c:v>4.93</c:v>
                </c:pt>
                <c:pt idx="5">
                  <c:v>1.57</c:v>
                </c:pt>
                <c:pt idx="6">
                  <c:v>1.47</c:v>
                </c:pt>
                <c:pt idx="7">
                  <c:v>2.83</c:v>
                </c:pt>
                <c:pt idx="8">
                  <c:v>1.17</c:v>
                </c:pt>
                <c:pt idx="9">
                  <c:v>5.19</c:v>
                </c:pt>
                <c:pt idx="10">
                  <c:v>0.85</c:v>
                </c:pt>
                <c:pt idx="11">
                  <c:v>1.24</c:v>
                </c:pt>
                <c:pt idx="12">
                  <c:v>0.64</c:v>
                </c:pt>
                <c:pt idx="13">
                  <c:v>1.27</c:v>
                </c:pt>
                <c:pt idx="14">
                  <c:v>2.98</c:v>
                </c:pt>
                <c:pt idx="15">
                  <c:v>1.96</c:v>
                </c:pt>
                <c:pt idx="16">
                  <c:v>48.64</c:v>
                </c:pt>
                <c:pt idx="17">
                  <c:v>10.77</c:v>
                </c:pt>
                <c:pt idx="18">
                  <c:v>3.86</c:v>
                </c:pt>
                <c:pt idx="19">
                  <c:v>4.87</c:v>
                </c:pt>
                <c:pt idx="20">
                  <c:v>0.69</c:v>
                </c:pt>
                <c:pt idx="21">
                  <c:v>1.87</c:v>
                </c:pt>
                <c:pt idx="22">
                  <c:v>0.33</c:v>
                </c:pt>
                <c:pt idx="23">
                  <c:v>0.55</c:v>
                </c:pt>
                <c:pt idx="24">
                  <c:v>2.83</c:v>
                </c:pt>
                <c:pt idx="25">
                  <c:v>12.32</c:v>
                </c:pt>
                <c:pt idx="26">
                  <c:v>5.68</c:v>
                </c:pt>
                <c:pt idx="27">
                  <c:v>3.6</c:v>
                </c:pt>
                <c:pt idx="28">
                  <c:v>3.6</c:v>
                </c:pt>
                <c:pt idx="29">
                  <c:v>4.93</c:v>
                </c:pt>
                <c:pt idx="30">
                  <c:v>1.87</c:v>
                </c:pt>
                <c:pt idx="31">
                  <c:v>2.17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36383776"/>
        <c:axId val="-2136380368"/>
      </c:barChart>
      <c:catAx>
        <c:axId val="-213638377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6350" cap="flat" cmpd="sng" algn="ctr">
            <a:solidFill>
              <a:srgbClr val="42424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6380368"/>
        <c:crosses val="autoZero"/>
        <c:auto val="1"/>
        <c:lblAlgn val="ctr"/>
        <c:lblOffset val="100"/>
        <c:noMultiLvlLbl val="0"/>
      </c:catAx>
      <c:valAx>
        <c:axId val="-2136380368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24242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γ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24242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42424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24242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63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424242"/>
          </a:solidFill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TCA!$F$16</c:f>
              <c:strCache>
                <c:ptCount val="1"/>
                <c:pt idx="0">
                  <c:v>stem_AT-GC_SNPs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TCA!$A$17:$A$26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TCA!$F$17:$F$26</c:f>
              <c:numCache>
                <c:formatCode>General</c:formatCode>
                <c:ptCount val="10"/>
                <c:pt idx="0">
                  <c:v>0.548387096774193</c:v>
                </c:pt>
                <c:pt idx="1">
                  <c:v>0.0752688172043011</c:v>
                </c:pt>
                <c:pt idx="2">
                  <c:v>0.021505376344086</c:v>
                </c:pt>
                <c:pt idx="3">
                  <c:v>0.0752688172043011</c:v>
                </c:pt>
                <c:pt idx="4">
                  <c:v>0.021505376344086</c:v>
                </c:pt>
                <c:pt idx="5">
                  <c:v>0.0</c:v>
                </c:pt>
                <c:pt idx="6">
                  <c:v>0.032258064516129</c:v>
                </c:pt>
                <c:pt idx="7">
                  <c:v>0.032258064516129</c:v>
                </c:pt>
                <c:pt idx="8">
                  <c:v>0.032258064516129</c:v>
                </c:pt>
                <c:pt idx="9">
                  <c:v>0.161290322580645</c:v>
                </c:pt>
              </c:numCache>
            </c:numRef>
          </c:val>
        </c:ser>
        <c:ser>
          <c:idx val="1"/>
          <c:order val="1"/>
          <c:tx>
            <c:strRef>
              <c:f>TCA!$G$16</c:f>
              <c:strCache>
                <c:ptCount val="1"/>
                <c:pt idx="0">
                  <c:v>loop_AT-GC_SNPs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TCA!$A$17:$A$26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TCA!$G$17:$G$26</c:f>
              <c:numCache>
                <c:formatCode>General</c:formatCode>
                <c:ptCount val="10"/>
                <c:pt idx="0">
                  <c:v>0.514563106796116</c:v>
                </c:pt>
                <c:pt idx="1">
                  <c:v>0.0679611650485437</c:v>
                </c:pt>
                <c:pt idx="2">
                  <c:v>0.00970873786407767</c:v>
                </c:pt>
                <c:pt idx="3">
                  <c:v>0.029126213592233</c:v>
                </c:pt>
                <c:pt idx="4">
                  <c:v>0.00970873786407767</c:v>
                </c:pt>
                <c:pt idx="5">
                  <c:v>0.0194174757281553</c:v>
                </c:pt>
                <c:pt idx="6">
                  <c:v>0.00970873786407767</c:v>
                </c:pt>
                <c:pt idx="7">
                  <c:v>0.0194174757281553</c:v>
                </c:pt>
                <c:pt idx="8">
                  <c:v>0.0194174757281553</c:v>
                </c:pt>
                <c:pt idx="9">
                  <c:v>0.300970873786408</c:v>
                </c:pt>
              </c:numCache>
            </c:numRef>
          </c:val>
        </c:ser>
        <c:ser>
          <c:idx val="2"/>
          <c:order val="2"/>
          <c:tx>
            <c:strRef>
              <c:f>TCA!$H$16</c:f>
              <c:strCache>
                <c:ptCount val="1"/>
                <c:pt idx="0">
                  <c:v>stem_GC-AT_SNPs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TCA!$A$17:$A$26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TCA!$H$17:$H$26</c:f>
              <c:numCache>
                <c:formatCode>General</c:formatCode>
                <c:ptCount val="10"/>
                <c:pt idx="0">
                  <c:v>0.666666666666667</c:v>
                </c:pt>
                <c:pt idx="1">
                  <c:v>0.0925925925925926</c:v>
                </c:pt>
                <c:pt idx="2">
                  <c:v>0.0648148148148148</c:v>
                </c:pt>
                <c:pt idx="3">
                  <c:v>0.00925925925925926</c:v>
                </c:pt>
                <c:pt idx="4">
                  <c:v>0.0462962962962963</c:v>
                </c:pt>
                <c:pt idx="5">
                  <c:v>0.00925925925925926</c:v>
                </c:pt>
                <c:pt idx="6">
                  <c:v>0.0277777777777778</c:v>
                </c:pt>
                <c:pt idx="7">
                  <c:v>0.0185185185185185</c:v>
                </c:pt>
                <c:pt idx="8">
                  <c:v>0.0185185185185185</c:v>
                </c:pt>
                <c:pt idx="9">
                  <c:v>0.0462962962962963</c:v>
                </c:pt>
              </c:numCache>
            </c:numRef>
          </c:val>
        </c:ser>
        <c:ser>
          <c:idx val="3"/>
          <c:order val="3"/>
          <c:tx>
            <c:strRef>
              <c:f>TCA!$I$16</c:f>
              <c:strCache>
                <c:ptCount val="1"/>
                <c:pt idx="0">
                  <c:v>loop_GC-AT_SNPs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TCA!$A$17:$A$26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TCA!$I$17:$I$26</c:f>
              <c:numCache>
                <c:formatCode>General</c:formatCode>
                <c:ptCount val="10"/>
                <c:pt idx="0">
                  <c:v>0.361702127659574</c:v>
                </c:pt>
                <c:pt idx="1">
                  <c:v>0.0425531914893617</c:v>
                </c:pt>
                <c:pt idx="2">
                  <c:v>0.0425531914893617</c:v>
                </c:pt>
                <c:pt idx="3">
                  <c:v>0.0638297872340425</c:v>
                </c:pt>
                <c:pt idx="4">
                  <c:v>0.0106382978723404</c:v>
                </c:pt>
                <c:pt idx="5">
                  <c:v>0.0425531914893617</c:v>
                </c:pt>
                <c:pt idx="6">
                  <c:v>0.0</c:v>
                </c:pt>
                <c:pt idx="7">
                  <c:v>0.0212765957446808</c:v>
                </c:pt>
                <c:pt idx="8">
                  <c:v>0.0212765957446808</c:v>
                </c:pt>
                <c:pt idx="9">
                  <c:v>0.393617021276596</c:v>
                </c:pt>
              </c:numCache>
            </c:numRef>
          </c:val>
        </c:ser>
        <c:ser>
          <c:idx val="4"/>
          <c:order val="4"/>
          <c:tx>
            <c:strRef>
              <c:f>TCA!$J$16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TCA!$A$17:$A$26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TCA!$J$17:$J$26</c:f>
              <c:numCache>
                <c:formatCode>General</c:formatCode>
                <c:ptCount val="10"/>
                <c:pt idx="0">
                  <c:v>0.585728</c:v>
                </c:pt>
                <c:pt idx="1">
                  <c:v>0.124192</c:v>
                </c:pt>
                <c:pt idx="2">
                  <c:v>0.0735119</c:v>
                </c:pt>
                <c:pt idx="3">
                  <c:v>0.051271</c:v>
                </c:pt>
                <c:pt idx="4">
                  <c:v>0.0400627</c:v>
                </c:pt>
                <c:pt idx="5">
                  <c:v>0.0328864</c:v>
                </c:pt>
                <c:pt idx="6">
                  <c:v>0.0278946</c:v>
                </c:pt>
                <c:pt idx="7">
                  <c:v>0.0242204</c:v>
                </c:pt>
                <c:pt idx="8">
                  <c:v>0.0212125</c:v>
                </c:pt>
                <c:pt idx="9">
                  <c:v>0.0190198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36290896"/>
        <c:axId val="-2136284272"/>
      </c:barChart>
      <c:catAx>
        <c:axId val="-213629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6284272"/>
        <c:crosses val="autoZero"/>
        <c:auto val="1"/>
        <c:lblAlgn val="ctr"/>
        <c:lblOffset val="100"/>
        <c:noMultiLvlLbl val="0"/>
      </c:catAx>
      <c:valAx>
        <c:axId val="-213628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62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202036163112061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pic_freq_10!$Z$1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pic_freq_10!$Z$2:$Z$11</c:f>
              <c:numCache>
                <c:formatCode>General</c:formatCode>
                <c:ptCount val="10"/>
                <c:pt idx="0">
                  <c:v>0.65747648394421</c:v>
                </c:pt>
                <c:pt idx="1">
                  <c:v>0.0771975348686344</c:v>
                </c:pt>
                <c:pt idx="2">
                  <c:v>0.0441128770677911</c:v>
                </c:pt>
                <c:pt idx="3">
                  <c:v>0.0275705481673694</c:v>
                </c:pt>
                <c:pt idx="4">
                  <c:v>0.0363282517028868</c:v>
                </c:pt>
                <c:pt idx="5">
                  <c:v>0.0220564385338956</c:v>
                </c:pt>
                <c:pt idx="6">
                  <c:v>0.0210833603632825</c:v>
                </c:pt>
                <c:pt idx="7">
                  <c:v>0.0214077197534869</c:v>
                </c:pt>
                <c:pt idx="8">
                  <c:v>0.024326954265326</c:v>
                </c:pt>
                <c:pt idx="9">
                  <c:v>0.0684398313331171</c:v>
                </c:pt>
              </c:numCache>
            </c:numRef>
          </c:val>
        </c:ser>
        <c:ser>
          <c:idx val="1"/>
          <c:order val="1"/>
          <c:tx>
            <c:strRef>
              <c:f>pic_freq_10!$AA$1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pic_freq_10!$AA$2:$AA$11</c:f>
              <c:numCache>
                <c:formatCode>General</c:formatCode>
                <c:ptCount val="10"/>
                <c:pt idx="0">
                  <c:v>0.709420289855072</c:v>
                </c:pt>
                <c:pt idx="1">
                  <c:v>0.0855072463768116</c:v>
                </c:pt>
                <c:pt idx="2">
                  <c:v>0.0503623188405797</c:v>
                </c:pt>
                <c:pt idx="3">
                  <c:v>0.0264492753623188</c:v>
                </c:pt>
                <c:pt idx="4">
                  <c:v>0.0260869565217391</c:v>
                </c:pt>
                <c:pt idx="5">
                  <c:v>0.0177536231884058</c:v>
                </c:pt>
                <c:pt idx="6">
                  <c:v>0.0108695652173913</c:v>
                </c:pt>
                <c:pt idx="7">
                  <c:v>0.0126811594202899</c:v>
                </c:pt>
                <c:pt idx="8">
                  <c:v>0.0188405797101449</c:v>
                </c:pt>
                <c:pt idx="9">
                  <c:v>0.0420289855072464</c:v>
                </c:pt>
              </c:numCache>
            </c:numRef>
          </c:val>
        </c:ser>
        <c:ser>
          <c:idx val="2"/>
          <c:order val="2"/>
          <c:tx>
            <c:strRef>
              <c:f>pic_freq_10!$AB$1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pic_freq_10!$AB$2:$AB$11</c:f>
              <c:numCache>
                <c:formatCode>General</c:formatCode>
                <c:ptCount val="10"/>
                <c:pt idx="0">
                  <c:v>0.757401315789474</c:v>
                </c:pt>
                <c:pt idx="1">
                  <c:v>0.0881990131578947</c:v>
                </c:pt>
                <c:pt idx="2">
                  <c:v>0.0433799342105263</c:v>
                </c:pt>
                <c:pt idx="3">
                  <c:v>0.0226151315789474</c:v>
                </c:pt>
                <c:pt idx="4">
                  <c:v>0.0187088815789474</c:v>
                </c:pt>
                <c:pt idx="5">
                  <c:v>0.0139802631578947</c:v>
                </c:pt>
                <c:pt idx="6">
                  <c:v>0.00986842105263158</c:v>
                </c:pt>
                <c:pt idx="7">
                  <c:v>0.0135690789473684</c:v>
                </c:pt>
                <c:pt idx="8">
                  <c:v>0.0123355263157895</c:v>
                </c:pt>
                <c:pt idx="9">
                  <c:v>0.0199424342105263</c:v>
                </c:pt>
              </c:numCache>
            </c:numRef>
          </c:val>
        </c:ser>
        <c:ser>
          <c:idx val="3"/>
          <c:order val="3"/>
          <c:tx>
            <c:strRef>
              <c:f>pic_freq_10!$AC$1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pic_freq_10!$AC$2:$AC$11</c:f>
              <c:numCache>
                <c:formatCode>General</c:formatCode>
                <c:ptCount val="10"/>
                <c:pt idx="0">
                  <c:v>0.719690805532954</c:v>
                </c:pt>
                <c:pt idx="1">
                  <c:v>0.0785191212367779</c:v>
                </c:pt>
                <c:pt idx="2">
                  <c:v>0.0386493083807974</c:v>
                </c:pt>
                <c:pt idx="3">
                  <c:v>0.0268510984540277</c:v>
                </c:pt>
                <c:pt idx="4">
                  <c:v>0.0227827502034174</c:v>
                </c:pt>
                <c:pt idx="5">
                  <c:v>0.0276647681041497</c:v>
                </c:pt>
                <c:pt idx="6">
                  <c:v>0.0134255492270138</c:v>
                </c:pt>
                <c:pt idx="7">
                  <c:v>0.0142392188771359</c:v>
                </c:pt>
                <c:pt idx="8">
                  <c:v>0.0231895850284784</c:v>
                </c:pt>
                <c:pt idx="9">
                  <c:v>0.0349877949552482</c:v>
                </c:pt>
              </c:numCache>
            </c:numRef>
          </c:val>
        </c:ser>
        <c:ser>
          <c:idx val="4"/>
          <c:order val="4"/>
          <c:tx>
            <c:strRef>
              <c:f>pic_freq_10!$AD$1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pic_freq_10!$AD$2:$AD$11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377904"/>
        <c:axId val="2136384528"/>
      </c:barChart>
      <c:catAx>
        <c:axId val="213637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384528"/>
        <c:crosses val="autoZero"/>
        <c:auto val="1"/>
        <c:lblAlgn val="ctr"/>
        <c:lblOffset val="100"/>
        <c:noMultiLvlLbl val="0"/>
      </c:catAx>
      <c:valAx>
        <c:axId val="213638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3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pic_freq_10!$B$1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pic_freq_10!$B$2:$B$11</c:f>
              <c:numCache>
                <c:formatCode>General</c:formatCode>
                <c:ptCount val="10"/>
                <c:pt idx="0">
                  <c:v>0.477630488815244</c:v>
                </c:pt>
                <c:pt idx="1">
                  <c:v>0.0847141673570837</c:v>
                </c:pt>
                <c:pt idx="2">
                  <c:v>0.0556130903065451</c:v>
                </c:pt>
                <c:pt idx="3">
                  <c:v>0.0411143330571665</c:v>
                </c:pt>
                <c:pt idx="4">
                  <c:v>0.0421499585749793</c:v>
                </c:pt>
                <c:pt idx="5">
                  <c:v>0.0415285832642916</c:v>
                </c:pt>
                <c:pt idx="6">
                  <c:v>0.0321043910521955</c:v>
                </c:pt>
                <c:pt idx="7">
                  <c:v>0.0352112676056338</c:v>
                </c:pt>
                <c:pt idx="8">
                  <c:v>0.0483637116818558</c:v>
                </c:pt>
                <c:pt idx="9">
                  <c:v>0.141570008285004</c:v>
                </c:pt>
              </c:numCache>
            </c:numRef>
          </c:val>
        </c:ser>
        <c:ser>
          <c:idx val="1"/>
          <c:order val="1"/>
          <c:tx>
            <c:strRef>
              <c:f>pic_freq_10!$C$1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pic_freq_10!$C$2:$C$11</c:f>
              <c:numCache>
                <c:formatCode>General</c:formatCode>
                <c:ptCount val="10"/>
                <c:pt idx="0">
                  <c:v>0.543729817007535</c:v>
                </c:pt>
                <c:pt idx="1">
                  <c:v>0.0941872981700753</c:v>
                </c:pt>
                <c:pt idx="2">
                  <c:v>0.0601453175457481</c:v>
                </c:pt>
                <c:pt idx="3">
                  <c:v>0.0405005382131324</c:v>
                </c:pt>
                <c:pt idx="4">
                  <c:v>0.0367330462863294</c:v>
                </c:pt>
                <c:pt idx="5">
                  <c:v>0.0333692142088267</c:v>
                </c:pt>
                <c:pt idx="6">
                  <c:v>0.0226049515608181</c:v>
                </c:pt>
                <c:pt idx="7">
                  <c:v>0.0265069967707212</c:v>
                </c:pt>
                <c:pt idx="8">
                  <c:v>0.0380785791173305</c:v>
                </c:pt>
                <c:pt idx="9">
                  <c:v>0.104144241119483</c:v>
                </c:pt>
              </c:numCache>
            </c:numRef>
          </c:val>
        </c:ser>
        <c:ser>
          <c:idx val="2"/>
          <c:order val="2"/>
          <c:tx>
            <c:strRef>
              <c:f>pic_freq_10!$D$1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pic_freq_10!$D$2:$D$11</c:f>
              <c:numCache>
                <c:formatCode>General</c:formatCode>
                <c:ptCount val="10"/>
                <c:pt idx="0">
                  <c:v>0.625218110019285</c:v>
                </c:pt>
                <c:pt idx="1">
                  <c:v>0.0908256038203692</c:v>
                </c:pt>
                <c:pt idx="2">
                  <c:v>0.0511525392598035</c:v>
                </c:pt>
                <c:pt idx="3">
                  <c:v>0.0348057672880889</c:v>
                </c:pt>
                <c:pt idx="4">
                  <c:v>0.0306731563963633</c:v>
                </c:pt>
                <c:pt idx="5">
                  <c:v>0.0255303517311048</c:v>
                </c:pt>
                <c:pt idx="6">
                  <c:v>0.0227752778032877</c:v>
                </c:pt>
                <c:pt idx="7">
                  <c:v>0.026265038111856</c:v>
                </c:pt>
                <c:pt idx="8">
                  <c:v>0.0298466342180182</c:v>
                </c:pt>
                <c:pt idx="9">
                  <c:v>0.0629075213518229</c:v>
                </c:pt>
              </c:numCache>
            </c:numRef>
          </c:val>
        </c:ser>
        <c:ser>
          <c:idx val="3"/>
          <c:order val="3"/>
          <c:tx>
            <c:strRef>
              <c:f>pic_freq_10!$E$1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pic_freq_10!$E$2:$E$11</c:f>
              <c:numCache>
                <c:formatCode>General</c:formatCode>
                <c:ptCount val="10"/>
                <c:pt idx="0">
                  <c:v>0.561891071713784</c:v>
                </c:pt>
                <c:pt idx="1">
                  <c:v>0.0862482031624341</c:v>
                </c:pt>
                <c:pt idx="2">
                  <c:v>0.0490337006867912</c:v>
                </c:pt>
                <c:pt idx="3">
                  <c:v>0.0388116914230953</c:v>
                </c:pt>
                <c:pt idx="4">
                  <c:v>0.0364159080019166</c:v>
                </c:pt>
                <c:pt idx="5">
                  <c:v>0.0378533780546239</c:v>
                </c:pt>
                <c:pt idx="6">
                  <c:v>0.0285896821593995</c:v>
                </c:pt>
                <c:pt idx="7">
                  <c:v>0.0360964702124261</c:v>
                </c:pt>
                <c:pt idx="8">
                  <c:v>0.0386519725283501</c:v>
                </c:pt>
                <c:pt idx="9">
                  <c:v>0.0864079220571794</c:v>
                </c:pt>
              </c:numCache>
            </c:numRef>
          </c:val>
        </c:ser>
        <c:ser>
          <c:idx val="4"/>
          <c:order val="4"/>
          <c:tx>
            <c:strRef>
              <c:f>pic_freq_10!$F$1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pic_freq_10!$F$2:$F$11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2697120"/>
        <c:axId val="2132703712"/>
      </c:barChart>
      <c:catAx>
        <c:axId val="21326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2703712"/>
        <c:crosses val="autoZero"/>
        <c:auto val="1"/>
        <c:lblAlgn val="ctr"/>
        <c:lblOffset val="100"/>
        <c:noMultiLvlLbl val="0"/>
      </c:catAx>
      <c:valAx>
        <c:axId val="213270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26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n128_Spar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pic_freq_10!$B$58</c:f>
              <c:strCache>
                <c:ptCount val="1"/>
                <c:pt idx="0">
                  <c:v>cds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pic_freq_10!$B$59:$B$68</c:f>
              <c:numCache>
                <c:formatCode>General</c:formatCode>
                <c:ptCount val="10"/>
                <c:pt idx="0">
                  <c:v>0.566760504091136</c:v>
                </c:pt>
                <c:pt idx="1">
                  <c:v>0.0896892841169197</c:v>
                </c:pt>
                <c:pt idx="2">
                  <c:v>0.0530926885737588</c:v>
                </c:pt>
                <c:pt idx="3">
                  <c:v>0.0373332631745113</c:v>
                </c:pt>
                <c:pt idx="4">
                  <c:v>0.0353600463048225</c:v>
                </c:pt>
                <c:pt idx="5">
                  <c:v>0.0332815912020837</c:v>
                </c:pt>
                <c:pt idx="6">
                  <c:v>0.0260464626798916</c:v>
                </c:pt>
                <c:pt idx="7">
                  <c:v>0.0297561103949065</c:v>
                </c:pt>
                <c:pt idx="8">
                  <c:v>0.0363861190770607</c:v>
                </c:pt>
                <c:pt idx="9">
                  <c:v>0.0922939303849088</c:v>
                </c:pt>
              </c:numCache>
            </c:numRef>
          </c:val>
        </c:ser>
        <c:ser>
          <c:idx val="1"/>
          <c:order val="1"/>
          <c:tx>
            <c:strRef>
              <c:f>pic_freq_10!$C$58</c:f>
              <c:strCache>
                <c:ptCount val="1"/>
                <c:pt idx="0">
                  <c:v>utr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pic_freq_10!$C$59:$C$68</c:f>
              <c:numCache>
                <c:formatCode>General</c:formatCode>
                <c:ptCount val="10"/>
                <c:pt idx="0">
                  <c:v>0.579137308815948</c:v>
                </c:pt>
                <c:pt idx="1">
                  <c:v>0.0914246434095205</c:v>
                </c:pt>
                <c:pt idx="2">
                  <c:v>0.0549922667124935</c:v>
                </c:pt>
                <c:pt idx="3">
                  <c:v>0.0379790341983159</c:v>
                </c:pt>
                <c:pt idx="4">
                  <c:v>0.0343701666953085</c:v>
                </c:pt>
                <c:pt idx="5">
                  <c:v>0.0276679841897233</c:v>
                </c:pt>
                <c:pt idx="6">
                  <c:v>0.0249183708540986</c:v>
                </c:pt>
                <c:pt idx="7">
                  <c:v>0.028527238357106</c:v>
                </c:pt>
                <c:pt idx="8">
                  <c:v>0.0305894483588245</c:v>
                </c:pt>
                <c:pt idx="9">
                  <c:v>0.0903935384086613</c:v>
                </c:pt>
              </c:numCache>
            </c:numRef>
          </c:val>
        </c:ser>
        <c:ser>
          <c:idx val="2"/>
          <c:order val="2"/>
          <c:tx>
            <c:strRef>
              <c:f>pic_freq_10!$D$58</c:f>
              <c:strCache>
                <c:ptCount val="1"/>
                <c:pt idx="0">
                  <c:v>syn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pic_freq_10!$D$59:$D$68</c:f>
              <c:numCache>
                <c:formatCode>General</c:formatCode>
                <c:ptCount val="10"/>
                <c:pt idx="0">
                  <c:v>0.4428373291064</c:v>
                </c:pt>
                <c:pt idx="1">
                  <c:v>0.093719041014464</c:v>
                </c:pt>
                <c:pt idx="2">
                  <c:v>0.0618684366950664</c:v>
                </c:pt>
                <c:pt idx="3">
                  <c:v>0.0473548642758074</c:v>
                </c:pt>
                <c:pt idx="4">
                  <c:v>0.0440360610263523</c:v>
                </c:pt>
                <c:pt idx="5">
                  <c:v>0.0444323360412126</c:v>
                </c:pt>
                <c:pt idx="6">
                  <c:v>0.0366059044977214</c:v>
                </c:pt>
                <c:pt idx="7">
                  <c:v>0.0422528234594809</c:v>
                </c:pt>
                <c:pt idx="8">
                  <c:v>0.051268080047553</c:v>
                </c:pt>
                <c:pt idx="9">
                  <c:v>0.135625123835942</c:v>
                </c:pt>
              </c:numCache>
            </c:numRef>
          </c:val>
        </c:ser>
        <c:ser>
          <c:idx val="3"/>
          <c:order val="3"/>
          <c:tx>
            <c:strRef>
              <c:f>pic_freq_10!$E$58</c:f>
              <c:strCache>
                <c:ptCount val="1"/>
                <c:pt idx="0">
                  <c:v>4D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pic_freq_10!$E$59:$E$68</c:f>
              <c:numCache>
                <c:formatCode>General</c:formatCode>
                <c:ptCount val="10"/>
                <c:pt idx="0">
                  <c:v>0.46286559316464</c:v>
                </c:pt>
                <c:pt idx="1">
                  <c:v>0.0957936247124548</c:v>
                </c:pt>
                <c:pt idx="2">
                  <c:v>0.058001971738416</c:v>
                </c:pt>
                <c:pt idx="3">
                  <c:v>0.0466644758462044</c:v>
                </c:pt>
                <c:pt idx="4">
                  <c:v>0.0468287873808741</c:v>
                </c:pt>
                <c:pt idx="5">
                  <c:v>0.0395990798554058</c:v>
                </c:pt>
                <c:pt idx="6">
                  <c:v>0.033355241537956</c:v>
                </c:pt>
                <c:pt idx="7">
                  <c:v>0.0386132106473874</c:v>
                </c:pt>
                <c:pt idx="8">
                  <c:v>0.0501150180742688</c:v>
                </c:pt>
                <c:pt idx="9">
                  <c:v>0.128162997042392</c:v>
                </c:pt>
              </c:numCache>
            </c:numRef>
          </c:val>
        </c:ser>
        <c:ser>
          <c:idx val="4"/>
          <c:order val="4"/>
          <c:tx>
            <c:strRef>
              <c:f>pic_freq_10!$F$58</c:f>
              <c:strCache>
                <c:ptCount val="1"/>
                <c:pt idx="0">
                  <c:v>tRNA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pic_freq_10!$F$59:$F$68</c:f>
              <c:numCache>
                <c:formatCode>General</c:formatCode>
                <c:ptCount val="10"/>
                <c:pt idx="0">
                  <c:v>0.439101668064486</c:v>
                </c:pt>
                <c:pt idx="1">
                  <c:v>0.0928152082750908</c:v>
                </c:pt>
                <c:pt idx="2">
                  <c:v>0.061504053676265</c:v>
                </c:pt>
                <c:pt idx="3">
                  <c:v>0.046500792097661</c:v>
                </c:pt>
                <c:pt idx="4">
                  <c:v>0.0431460255335011</c:v>
                </c:pt>
                <c:pt idx="5">
                  <c:v>0.0437051532941944</c:v>
                </c:pt>
                <c:pt idx="6">
                  <c:v>0.0364364924051812</c:v>
                </c:pt>
                <c:pt idx="7">
                  <c:v>0.04044357469015</c:v>
                </c:pt>
                <c:pt idx="8">
                  <c:v>0.0533967011462119</c:v>
                </c:pt>
                <c:pt idx="9">
                  <c:v>0.142950330817258</c:v>
                </c:pt>
              </c:numCache>
            </c:numRef>
          </c:val>
        </c:ser>
        <c:ser>
          <c:idx val="5"/>
          <c:order val="5"/>
          <c:tx>
            <c:strRef>
              <c:f>pic_freq_10!$G$58</c:f>
              <c:strCache>
                <c:ptCount val="1"/>
                <c:pt idx="0">
                  <c:v>nsy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pic_freq_10!$G$59:$G$68</c:f>
              <c:numCache>
                <c:formatCode>General</c:formatCode>
                <c:ptCount val="10"/>
                <c:pt idx="0">
                  <c:v>0.721942724458204</c:v>
                </c:pt>
                <c:pt idx="1">
                  <c:v>0.0837848297213622</c:v>
                </c:pt>
                <c:pt idx="2">
                  <c:v>0.0431501547987616</c:v>
                </c:pt>
                <c:pt idx="3">
                  <c:v>0.0251547987616099</c:v>
                </c:pt>
                <c:pt idx="4">
                  <c:v>0.0245098039215686</c:v>
                </c:pt>
                <c:pt idx="5">
                  <c:v>0.0193498452012384</c:v>
                </c:pt>
                <c:pt idx="6">
                  <c:v>0.013609391124871</c:v>
                </c:pt>
                <c:pt idx="7">
                  <c:v>0.0150928792569659</c:v>
                </c:pt>
                <c:pt idx="8">
                  <c:v>0.0168988648090815</c:v>
                </c:pt>
                <c:pt idx="9">
                  <c:v>0.0365067079463364</c:v>
                </c:pt>
              </c:numCache>
            </c:numRef>
          </c:val>
        </c:ser>
        <c:ser>
          <c:idx val="6"/>
          <c:order val="6"/>
          <c:tx>
            <c:strRef>
              <c:f>pic_freq_10!$H$58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pic_freq_10!$H$59:$H$68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72960"/>
        <c:axId val="2132778928"/>
      </c:barChart>
      <c:catAx>
        <c:axId val="213277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2778928"/>
        <c:crosses val="autoZero"/>
        <c:auto val="1"/>
        <c:lblAlgn val="ctr"/>
        <c:lblOffset val="100"/>
        <c:noMultiLvlLbl val="0"/>
      </c:catAx>
      <c:valAx>
        <c:axId val="213277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 of SNPs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27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pic_freq_10!$AH$1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pic_freq_10!$AG$2:$AG$11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pic_freq_10!$AH$2:$AH$11</c:f>
              <c:numCache>
                <c:formatCode>General</c:formatCode>
                <c:ptCount val="10"/>
                <c:pt idx="0">
                  <c:v>0.411544628540887</c:v>
                </c:pt>
                <c:pt idx="1">
                  <c:v>0.0929983965793693</c:v>
                </c:pt>
                <c:pt idx="2">
                  <c:v>0.0529128808123998</c:v>
                </c:pt>
                <c:pt idx="3">
                  <c:v>0.0470336718332442</c:v>
                </c:pt>
                <c:pt idx="4">
                  <c:v>0.053981827899519</c:v>
                </c:pt>
                <c:pt idx="5">
                  <c:v>0.0491715660074826</c:v>
                </c:pt>
                <c:pt idx="6">
                  <c:v>0.034206306787814</c:v>
                </c:pt>
                <c:pt idx="7">
                  <c:v>0.0416889363976483</c:v>
                </c:pt>
                <c:pt idx="8">
                  <c:v>0.0555852485301977</c:v>
                </c:pt>
                <c:pt idx="9">
                  <c:v>0.160876536611438</c:v>
                </c:pt>
              </c:numCache>
            </c:numRef>
          </c:val>
        </c:ser>
        <c:ser>
          <c:idx val="1"/>
          <c:order val="1"/>
          <c:tx>
            <c:strRef>
              <c:f>pic_freq_10!$AI$1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pic_freq_10!$AG$2:$AG$11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pic_freq_10!$AI$2:$AI$11</c:f>
              <c:numCache>
                <c:formatCode>General</c:formatCode>
                <c:ptCount val="10"/>
                <c:pt idx="0">
                  <c:v>0.465320456540825</c:v>
                </c:pt>
                <c:pt idx="1">
                  <c:v>0.100087796312555</c:v>
                </c:pt>
                <c:pt idx="2">
                  <c:v>0.0640913081650571</c:v>
                </c:pt>
                <c:pt idx="3">
                  <c:v>0.057945566286216</c:v>
                </c:pt>
                <c:pt idx="4">
                  <c:v>0.0368744512730465</c:v>
                </c:pt>
                <c:pt idx="5">
                  <c:v>0.0377524143985953</c:v>
                </c:pt>
                <c:pt idx="6">
                  <c:v>0.019315188762072</c:v>
                </c:pt>
                <c:pt idx="7">
                  <c:v>0.0280948200175593</c:v>
                </c:pt>
                <c:pt idx="8">
                  <c:v>0.0526777875329236</c:v>
                </c:pt>
                <c:pt idx="9">
                  <c:v>0.13784021071115</c:v>
                </c:pt>
              </c:numCache>
            </c:numRef>
          </c:val>
        </c:ser>
        <c:ser>
          <c:idx val="2"/>
          <c:order val="2"/>
          <c:tx>
            <c:strRef>
              <c:f>pic_freq_10!$AJ$1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pic_freq_10!$AG$2:$AG$11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pic_freq_10!$AJ$2:$AJ$11</c:f>
              <c:numCache>
                <c:formatCode>General</c:formatCode>
                <c:ptCount val="10"/>
                <c:pt idx="0">
                  <c:v>0.494764397905759</c:v>
                </c:pt>
                <c:pt idx="1">
                  <c:v>0.0975130890052356</c:v>
                </c:pt>
                <c:pt idx="2">
                  <c:v>0.0595549738219895</c:v>
                </c:pt>
                <c:pt idx="3">
                  <c:v>0.0490837696335078</c:v>
                </c:pt>
                <c:pt idx="4">
                  <c:v>0.0464659685863874</c:v>
                </c:pt>
                <c:pt idx="5">
                  <c:v>0.0301047120418848</c:v>
                </c:pt>
                <c:pt idx="6">
                  <c:v>0.0353403141361257</c:v>
                </c:pt>
                <c:pt idx="7">
                  <c:v>0.0392670157068063</c:v>
                </c:pt>
                <c:pt idx="8">
                  <c:v>0.0425392670157068</c:v>
                </c:pt>
                <c:pt idx="9">
                  <c:v>0.105366492146597</c:v>
                </c:pt>
              </c:numCache>
            </c:numRef>
          </c:val>
        </c:ser>
        <c:ser>
          <c:idx val="3"/>
          <c:order val="3"/>
          <c:tx>
            <c:strRef>
              <c:f>pic_freq_10!$AK$1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pic_freq_10!$AG$2:$AG$11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pic_freq_10!$AK$2:$AK$11</c:f>
              <c:numCache>
                <c:formatCode>General</c:formatCode>
                <c:ptCount val="10"/>
                <c:pt idx="0">
                  <c:v>0.448684210526316</c:v>
                </c:pt>
                <c:pt idx="1">
                  <c:v>0.0789473684210526</c:v>
                </c:pt>
                <c:pt idx="2">
                  <c:v>0.0592105263157895</c:v>
                </c:pt>
                <c:pt idx="3">
                  <c:v>0.0407894736842105</c:v>
                </c:pt>
                <c:pt idx="4">
                  <c:v>0.0421052631578947</c:v>
                </c:pt>
                <c:pt idx="5">
                  <c:v>0.0394736842105263</c:v>
                </c:pt>
                <c:pt idx="6">
                  <c:v>0.0513157894736842</c:v>
                </c:pt>
                <c:pt idx="7">
                  <c:v>0.0421052631578947</c:v>
                </c:pt>
                <c:pt idx="8">
                  <c:v>0.0618421052631579</c:v>
                </c:pt>
                <c:pt idx="9">
                  <c:v>0.135526315789474</c:v>
                </c:pt>
              </c:numCache>
            </c:numRef>
          </c:val>
        </c:ser>
        <c:ser>
          <c:idx val="4"/>
          <c:order val="4"/>
          <c:tx>
            <c:strRef>
              <c:f>pic_freq_10!$AL$1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pic_freq_10!$AG$2:$AG$11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pic_freq_10!$AL$2:$AL$11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39086640"/>
        <c:axId val="-2139080016"/>
      </c:barChart>
      <c:catAx>
        <c:axId val="-213908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9080016"/>
        <c:crosses val="autoZero"/>
        <c:auto val="1"/>
        <c:lblAlgn val="ctr"/>
        <c:lblOffset val="100"/>
        <c:noMultiLvlLbl val="0"/>
      </c:catAx>
      <c:valAx>
        <c:axId val="-213908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90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pic_freq_10!$AP$1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pic_freq_10!$AO$2:$AO$11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pic_freq_10!$AP$2:$AP$11</c:f>
              <c:numCache>
                <c:formatCode>General</c:formatCode>
                <c:ptCount val="10"/>
                <c:pt idx="0">
                  <c:v>0.370269452013321</c:v>
                </c:pt>
                <c:pt idx="1">
                  <c:v>0.0944595821980018</c:v>
                </c:pt>
                <c:pt idx="2">
                  <c:v>0.0590372388737511</c:v>
                </c:pt>
                <c:pt idx="3">
                  <c:v>0.0469270360278535</c:v>
                </c:pt>
                <c:pt idx="4">
                  <c:v>0.0454132606721162</c:v>
                </c:pt>
                <c:pt idx="5">
                  <c:v>0.0499545867393279</c:v>
                </c:pt>
                <c:pt idx="6">
                  <c:v>0.0354223433242507</c:v>
                </c:pt>
                <c:pt idx="7">
                  <c:v>0.0405691795337572</c:v>
                </c:pt>
                <c:pt idx="8">
                  <c:v>0.0635785649409627</c:v>
                </c:pt>
                <c:pt idx="9">
                  <c:v>0.194368755676658</c:v>
                </c:pt>
              </c:numCache>
            </c:numRef>
          </c:val>
        </c:ser>
        <c:ser>
          <c:idx val="1"/>
          <c:order val="1"/>
          <c:tx>
            <c:strRef>
              <c:f>pic_freq_10!$AQ$1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pic_freq_10!$AO$2:$AO$11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pic_freq_10!$AQ$2:$AQ$11</c:f>
              <c:numCache>
                <c:formatCode>General</c:formatCode>
                <c:ptCount val="10"/>
                <c:pt idx="0">
                  <c:v>0.423917893797412</c:v>
                </c:pt>
                <c:pt idx="1">
                  <c:v>0.0946006247211066</c:v>
                </c:pt>
                <c:pt idx="2">
                  <c:v>0.0696117804551539</c:v>
                </c:pt>
                <c:pt idx="3">
                  <c:v>0.0490852298081214</c:v>
                </c:pt>
                <c:pt idx="4">
                  <c:v>0.0428380187416332</c:v>
                </c:pt>
                <c:pt idx="5">
                  <c:v>0.0450691655510933</c:v>
                </c:pt>
                <c:pt idx="6">
                  <c:v>0.0321285140562249</c:v>
                </c:pt>
                <c:pt idx="7">
                  <c:v>0.0383757251227131</c:v>
                </c:pt>
                <c:pt idx="8">
                  <c:v>0.0517626059794734</c:v>
                </c:pt>
                <c:pt idx="9">
                  <c:v>0.152610441767068</c:v>
                </c:pt>
              </c:numCache>
            </c:numRef>
          </c:val>
        </c:ser>
        <c:ser>
          <c:idx val="2"/>
          <c:order val="2"/>
          <c:tx>
            <c:strRef>
              <c:f>pic_freq_10!$AR$1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pic_freq_10!$AO$2:$AO$11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pic_freq_10!$AR$2:$AR$11</c:f>
              <c:numCache>
                <c:formatCode>General</c:formatCode>
                <c:ptCount val="10"/>
                <c:pt idx="0">
                  <c:v>0.500510725229826</c:v>
                </c:pt>
                <c:pt idx="1">
                  <c:v>0.0926115083418454</c:v>
                </c:pt>
                <c:pt idx="2">
                  <c:v>0.0582226762002043</c:v>
                </c:pt>
                <c:pt idx="3">
                  <c:v>0.0449438202247191</c:v>
                </c:pt>
                <c:pt idx="4">
                  <c:v>0.041879468845761</c:v>
                </c:pt>
                <c:pt idx="5">
                  <c:v>0.0357507660878447</c:v>
                </c:pt>
                <c:pt idx="6">
                  <c:v>0.0388151174668029</c:v>
                </c:pt>
                <c:pt idx="7">
                  <c:v>0.0374531835205992</c:v>
                </c:pt>
                <c:pt idx="8">
                  <c:v>0.0473272046305754</c:v>
                </c:pt>
                <c:pt idx="9">
                  <c:v>0.102485529451822</c:v>
                </c:pt>
              </c:numCache>
            </c:numRef>
          </c:val>
        </c:ser>
        <c:ser>
          <c:idx val="3"/>
          <c:order val="3"/>
          <c:tx>
            <c:strRef>
              <c:f>pic_freq_10!$AS$1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pic_freq_10!$AO$2:$AO$11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pic_freq_10!$AS$2:$AS$11</c:f>
              <c:numCache>
                <c:formatCode>General</c:formatCode>
                <c:ptCount val="10"/>
                <c:pt idx="0">
                  <c:v>0.457267283614589</c:v>
                </c:pt>
                <c:pt idx="1">
                  <c:v>0.085465432770822</c:v>
                </c:pt>
                <c:pt idx="2">
                  <c:v>0.0615133369624387</c:v>
                </c:pt>
                <c:pt idx="3">
                  <c:v>0.045182362547632</c:v>
                </c:pt>
                <c:pt idx="4">
                  <c:v>0.0440936309199782</c:v>
                </c:pt>
                <c:pt idx="5">
                  <c:v>0.0446379967338051</c:v>
                </c:pt>
                <c:pt idx="6">
                  <c:v>0.0408274360370169</c:v>
                </c:pt>
                <c:pt idx="7">
                  <c:v>0.0468154599891127</c:v>
                </c:pt>
                <c:pt idx="8">
                  <c:v>0.0528034839412085</c:v>
                </c:pt>
                <c:pt idx="9">
                  <c:v>0.121393576483397</c:v>
                </c:pt>
              </c:numCache>
            </c:numRef>
          </c:val>
        </c:ser>
        <c:ser>
          <c:idx val="4"/>
          <c:order val="4"/>
          <c:tx>
            <c:strRef>
              <c:f>pic_freq_10!$AT$1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pic_freq_10!$AO$2:$AO$11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pic_freq_10!$AT$2:$AT$11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39016640"/>
        <c:axId val="-2139010016"/>
      </c:barChart>
      <c:catAx>
        <c:axId val="-213901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9010016"/>
        <c:crosses val="autoZero"/>
        <c:auto val="1"/>
        <c:lblAlgn val="ctr"/>
        <c:lblOffset val="100"/>
        <c:noMultiLvlLbl val="0"/>
      </c:catAx>
      <c:valAx>
        <c:axId val="-213901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90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'freq_each-syn'!$P$2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r>
                      <a:rPr lang="en-US" altLang="zh-CN" sz="1200" baseline="0"/>
                      <a:t>43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'freq_each-syn'!$P$3:$P$132</c:f>
              <c:numCache>
                <c:formatCode>General</c:formatCode>
                <c:ptCount val="130"/>
                <c:pt idx="0">
                  <c:v>0.57</c:v>
                </c:pt>
                <c:pt idx="1">
                  <c:v>0.562862669245648</c:v>
                </c:pt>
                <c:pt idx="2">
                  <c:v>0.538306451612903</c:v>
                </c:pt>
                <c:pt idx="3">
                  <c:v>0.591549295774648</c:v>
                </c:pt>
                <c:pt idx="4">
                  <c:v>0.509523809523809</c:v>
                </c:pt>
                <c:pt idx="5">
                  <c:v>0.494464944649446</c:v>
                </c:pt>
                <c:pt idx="6">
                  <c:v>0.475138121546961</c:v>
                </c:pt>
                <c:pt idx="7">
                  <c:v>0.568862275449102</c:v>
                </c:pt>
                <c:pt idx="8">
                  <c:v>0.548543689320388</c:v>
                </c:pt>
                <c:pt idx="9">
                  <c:v>0.518518518518518</c:v>
                </c:pt>
                <c:pt idx="10">
                  <c:v>0.56198347107438</c:v>
                </c:pt>
                <c:pt idx="11">
                  <c:v>0.58</c:v>
                </c:pt>
                <c:pt idx="12">
                  <c:v>0.601851851851852</c:v>
                </c:pt>
                <c:pt idx="13">
                  <c:v>0.49</c:v>
                </c:pt>
                <c:pt idx="14">
                  <c:v>0.545454545454545</c:v>
                </c:pt>
                <c:pt idx="15">
                  <c:v>0.671052631578947</c:v>
                </c:pt>
                <c:pt idx="16">
                  <c:v>0.512820512820513</c:v>
                </c:pt>
                <c:pt idx="17">
                  <c:v>0.560606060606061</c:v>
                </c:pt>
                <c:pt idx="18">
                  <c:v>0.625</c:v>
                </c:pt>
                <c:pt idx="19">
                  <c:v>0.53968253968254</c:v>
                </c:pt>
                <c:pt idx="20">
                  <c:v>0.476923076923077</c:v>
                </c:pt>
                <c:pt idx="21">
                  <c:v>0.641509433962264</c:v>
                </c:pt>
                <c:pt idx="22">
                  <c:v>0.53030303030303</c:v>
                </c:pt>
                <c:pt idx="23">
                  <c:v>0.535714285714286</c:v>
                </c:pt>
                <c:pt idx="24">
                  <c:v>0.573770491803279</c:v>
                </c:pt>
                <c:pt idx="25">
                  <c:v>0.588235294117647</c:v>
                </c:pt>
                <c:pt idx="26">
                  <c:v>0.614035087719298</c:v>
                </c:pt>
                <c:pt idx="27">
                  <c:v>0.53448275862069</c:v>
                </c:pt>
                <c:pt idx="28">
                  <c:v>0.5</c:v>
                </c:pt>
                <c:pt idx="29">
                  <c:v>0.630769230769231</c:v>
                </c:pt>
                <c:pt idx="30">
                  <c:v>0.666666666666667</c:v>
                </c:pt>
                <c:pt idx="31">
                  <c:v>0.576923076923077</c:v>
                </c:pt>
                <c:pt idx="32">
                  <c:v>0.612244897959184</c:v>
                </c:pt>
                <c:pt idx="33">
                  <c:v>0.514285714285714</c:v>
                </c:pt>
                <c:pt idx="34">
                  <c:v>0.5</c:v>
                </c:pt>
                <c:pt idx="35">
                  <c:v>0.5</c:v>
                </c:pt>
                <c:pt idx="36">
                  <c:v>0.538461538461538</c:v>
                </c:pt>
                <c:pt idx="37">
                  <c:v>0.490196078431372</c:v>
                </c:pt>
                <c:pt idx="38">
                  <c:v>0.615384615384615</c:v>
                </c:pt>
                <c:pt idx="39">
                  <c:v>0.476190476190476</c:v>
                </c:pt>
                <c:pt idx="40">
                  <c:v>0.612244897959184</c:v>
                </c:pt>
                <c:pt idx="41">
                  <c:v>0.666666666666667</c:v>
                </c:pt>
                <c:pt idx="42">
                  <c:v>0.627906976744186</c:v>
                </c:pt>
                <c:pt idx="43">
                  <c:v>0.675675675675676</c:v>
                </c:pt>
                <c:pt idx="44">
                  <c:v>0.666666666666667</c:v>
                </c:pt>
                <c:pt idx="45">
                  <c:v>0.476190476190476</c:v>
                </c:pt>
                <c:pt idx="46">
                  <c:v>0.636363636363636</c:v>
                </c:pt>
                <c:pt idx="47">
                  <c:v>0.522727272727273</c:v>
                </c:pt>
                <c:pt idx="48">
                  <c:v>0.473684210526316</c:v>
                </c:pt>
                <c:pt idx="49">
                  <c:v>0.442307692307692</c:v>
                </c:pt>
                <c:pt idx="50">
                  <c:v>0.638888888888889</c:v>
                </c:pt>
                <c:pt idx="51">
                  <c:v>0.571428571428571</c:v>
                </c:pt>
                <c:pt idx="52">
                  <c:v>0.516129032258064</c:v>
                </c:pt>
                <c:pt idx="53">
                  <c:v>0.575</c:v>
                </c:pt>
                <c:pt idx="54">
                  <c:v>0.642857142857143</c:v>
                </c:pt>
                <c:pt idx="55">
                  <c:v>0.621621621621622</c:v>
                </c:pt>
                <c:pt idx="56">
                  <c:v>0.636363636363636</c:v>
                </c:pt>
                <c:pt idx="57">
                  <c:v>0.595238095238095</c:v>
                </c:pt>
                <c:pt idx="58">
                  <c:v>0.588235294117647</c:v>
                </c:pt>
                <c:pt idx="59">
                  <c:v>0.65625</c:v>
                </c:pt>
                <c:pt idx="60">
                  <c:v>0.4375</c:v>
                </c:pt>
                <c:pt idx="61">
                  <c:v>0.666666666666667</c:v>
                </c:pt>
                <c:pt idx="62">
                  <c:v>0.551724137931034</c:v>
                </c:pt>
                <c:pt idx="63">
                  <c:v>0.763157894736842</c:v>
                </c:pt>
                <c:pt idx="64">
                  <c:v>0.666666666666667</c:v>
                </c:pt>
                <c:pt idx="65">
                  <c:v>0.558823529411765</c:v>
                </c:pt>
                <c:pt idx="66">
                  <c:v>0.55</c:v>
                </c:pt>
                <c:pt idx="67">
                  <c:v>0.5</c:v>
                </c:pt>
                <c:pt idx="68">
                  <c:v>0.675675675675676</c:v>
                </c:pt>
                <c:pt idx="69">
                  <c:v>0.702702702702703</c:v>
                </c:pt>
                <c:pt idx="70">
                  <c:v>0.65625</c:v>
                </c:pt>
                <c:pt idx="71">
                  <c:v>0.75</c:v>
                </c:pt>
                <c:pt idx="72">
                  <c:v>0.568181818181818</c:v>
                </c:pt>
                <c:pt idx="73">
                  <c:v>0.638888888888889</c:v>
                </c:pt>
                <c:pt idx="74">
                  <c:v>0.461538461538462</c:v>
                </c:pt>
                <c:pt idx="75">
                  <c:v>0.51219512195122</c:v>
                </c:pt>
                <c:pt idx="76">
                  <c:v>0.6</c:v>
                </c:pt>
                <c:pt idx="77">
                  <c:v>0.740740740740741</c:v>
                </c:pt>
                <c:pt idx="78">
                  <c:v>0.758620689655172</c:v>
                </c:pt>
                <c:pt idx="79">
                  <c:v>0.576923076923077</c:v>
                </c:pt>
                <c:pt idx="80">
                  <c:v>0.666666666666667</c:v>
                </c:pt>
                <c:pt idx="81">
                  <c:v>0.685714285714286</c:v>
                </c:pt>
                <c:pt idx="82">
                  <c:v>0.607142857142857</c:v>
                </c:pt>
                <c:pt idx="83">
                  <c:v>0.612903225806452</c:v>
                </c:pt>
                <c:pt idx="84">
                  <c:v>0.558139534883721</c:v>
                </c:pt>
                <c:pt idx="85">
                  <c:v>0.708333333333333</c:v>
                </c:pt>
                <c:pt idx="86">
                  <c:v>0.583333333333333</c:v>
                </c:pt>
                <c:pt idx="87">
                  <c:v>0.68</c:v>
                </c:pt>
                <c:pt idx="88">
                  <c:v>0.65625</c:v>
                </c:pt>
                <c:pt idx="89">
                  <c:v>0.567567567567568</c:v>
                </c:pt>
                <c:pt idx="90">
                  <c:v>0.606060606060606</c:v>
                </c:pt>
                <c:pt idx="91">
                  <c:v>0.6</c:v>
                </c:pt>
                <c:pt idx="92">
                  <c:v>0.818181818181818</c:v>
                </c:pt>
                <c:pt idx="93">
                  <c:v>0.566666666666667</c:v>
                </c:pt>
                <c:pt idx="94">
                  <c:v>0.5625</c:v>
                </c:pt>
                <c:pt idx="95">
                  <c:v>0.705882352941176</c:v>
                </c:pt>
                <c:pt idx="96">
                  <c:v>0.55</c:v>
                </c:pt>
                <c:pt idx="97">
                  <c:v>0.594594594594595</c:v>
                </c:pt>
                <c:pt idx="98">
                  <c:v>0.658536585365854</c:v>
                </c:pt>
                <c:pt idx="99">
                  <c:v>0.714285714285714</c:v>
                </c:pt>
                <c:pt idx="100">
                  <c:v>0.608695652173913</c:v>
                </c:pt>
                <c:pt idx="101">
                  <c:v>0.510204081632653</c:v>
                </c:pt>
                <c:pt idx="102">
                  <c:v>0.53125</c:v>
                </c:pt>
                <c:pt idx="103">
                  <c:v>0.585365853658537</c:v>
                </c:pt>
                <c:pt idx="104">
                  <c:v>0.483870967741935</c:v>
                </c:pt>
                <c:pt idx="105">
                  <c:v>0.694444444444444</c:v>
                </c:pt>
                <c:pt idx="106">
                  <c:v>0.711111111111111</c:v>
                </c:pt>
                <c:pt idx="107">
                  <c:v>0.735294117647059</c:v>
                </c:pt>
                <c:pt idx="108">
                  <c:v>0.56</c:v>
                </c:pt>
                <c:pt idx="109">
                  <c:v>0.515151515151515</c:v>
                </c:pt>
                <c:pt idx="110">
                  <c:v>0.78</c:v>
                </c:pt>
                <c:pt idx="111">
                  <c:v>0.650793650793651</c:v>
                </c:pt>
                <c:pt idx="112">
                  <c:v>0.66</c:v>
                </c:pt>
                <c:pt idx="113">
                  <c:v>0.626865671641791</c:v>
                </c:pt>
                <c:pt idx="114">
                  <c:v>0.642857142857143</c:v>
                </c:pt>
                <c:pt idx="115">
                  <c:v>0.552631578947368</c:v>
                </c:pt>
                <c:pt idx="116">
                  <c:v>0.640625</c:v>
                </c:pt>
                <c:pt idx="117">
                  <c:v>0.666666666666667</c:v>
                </c:pt>
                <c:pt idx="118">
                  <c:v>0.666666666666667</c:v>
                </c:pt>
                <c:pt idx="119">
                  <c:v>0.673469387755102</c:v>
                </c:pt>
                <c:pt idx="120">
                  <c:v>0.588235294117647</c:v>
                </c:pt>
                <c:pt idx="121">
                  <c:v>0.666666666666667</c:v>
                </c:pt>
                <c:pt idx="122">
                  <c:v>0.610526315789474</c:v>
                </c:pt>
                <c:pt idx="123">
                  <c:v>0.654867256637168</c:v>
                </c:pt>
                <c:pt idx="124">
                  <c:v>0.588888888888889</c:v>
                </c:pt>
                <c:pt idx="125">
                  <c:v>0.649038461538461</c:v>
                </c:pt>
                <c:pt idx="126">
                  <c:v>0.633147113594041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'freq_each-syn'!$Q$2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r>
                      <a:rPr lang="en-US" altLang="zh-CN" baseline="0"/>
                      <a:t>.43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'freq_each-syn'!$Q$3:$Q$132</c:f>
              <c:numCache>
                <c:formatCode>General</c:formatCode>
                <c:ptCount val="130"/>
                <c:pt idx="0">
                  <c:v>0.43</c:v>
                </c:pt>
                <c:pt idx="1">
                  <c:v>0.437137330754352</c:v>
                </c:pt>
                <c:pt idx="2">
                  <c:v>0.461693548387097</c:v>
                </c:pt>
                <c:pt idx="3">
                  <c:v>0.408450704225352</c:v>
                </c:pt>
                <c:pt idx="4">
                  <c:v>0.49047619047619</c:v>
                </c:pt>
                <c:pt idx="5">
                  <c:v>0.505535055350554</c:v>
                </c:pt>
                <c:pt idx="6">
                  <c:v>0.524861878453039</c:v>
                </c:pt>
                <c:pt idx="7">
                  <c:v>0.431137724550898</c:v>
                </c:pt>
                <c:pt idx="8">
                  <c:v>0.451456310679612</c:v>
                </c:pt>
                <c:pt idx="9">
                  <c:v>0.481481481481481</c:v>
                </c:pt>
                <c:pt idx="10">
                  <c:v>0.43801652892562</c:v>
                </c:pt>
                <c:pt idx="11">
                  <c:v>0.42</c:v>
                </c:pt>
                <c:pt idx="12">
                  <c:v>0.398148148148148</c:v>
                </c:pt>
                <c:pt idx="13">
                  <c:v>0.51</c:v>
                </c:pt>
                <c:pt idx="14">
                  <c:v>0.454545454545454</c:v>
                </c:pt>
                <c:pt idx="15">
                  <c:v>0.328947368421053</c:v>
                </c:pt>
                <c:pt idx="16">
                  <c:v>0.487179487179487</c:v>
                </c:pt>
                <c:pt idx="17">
                  <c:v>0.439393939393939</c:v>
                </c:pt>
                <c:pt idx="18">
                  <c:v>0.375</c:v>
                </c:pt>
                <c:pt idx="19">
                  <c:v>0.46031746031746</c:v>
                </c:pt>
                <c:pt idx="20">
                  <c:v>0.523076923076923</c:v>
                </c:pt>
                <c:pt idx="21">
                  <c:v>0.358490566037736</c:v>
                </c:pt>
                <c:pt idx="22">
                  <c:v>0.46969696969697</c:v>
                </c:pt>
                <c:pt idx="23">
                  <c:v>0.464285714285714</c:v>
                </c:pt>
                <c:pt idx="24">
                  <c:v>0.426229508196721</c:v>
                </c:pt>
                <c:pt idx="25">
                  <c:v>0.411764705882353</c:v>
                </c:pt>
                <c:pt idx="26">
                  <c:v>0.385964912280702</c:v>
                </c:pt>
                <c:pt idx="27">
                  <c:v>0.46551724137931</c:v>
                </c:pt>
                <c:pt idx="28">
                  <c:v>0.5</c:v>
                </c:pt>
                <c:pt idx="29">
                  <c:v>0.369230769230769</c:v>
                </c:pt>
                <c:pt idx="30">
                  <c:v>0.333333333333333</c:v>
                </c:pt>
                <c:pt idx="31">
                  <c:v>0.423076923076923</c:v>
                </c:pt>
                <c:pt idx="32">
                  <c:v>0.387755102040816</c:v>
                </c:pt>
                <c:pt idx="33">
                  <c:v>0.485714285714286</c:v>
                </c:pt>
                <c:pt idx="34">
                  <c:v>0.5</c:v>
                </c:pt>
                <c:pt idx="35">
                  <c:v>0.5</c:v>
                </c:pt>
                <c:pt idx="36">
                  <c:v>0.461538461538462</c:v>
                </c:pt>
                <c:pt idx="37">
                  <c:v>0.509803921568627</c:v>
                </c:pt>
                <c:pt idx="38">
                  <c:v>0.384615384615385</c:v>
                </c:pt>
                <c:pt idx="39">
                  <c:v>0.523809523809524</c:v>
                </c:pt>
                <c:pt idx="40">
                  <c:v>0.387755102040816</c:v>
                </c:pt>
                <c:pt idx="41">
                  <c:v>0.333333333333333</c:v>
                </c:pt>
                <c:pt idx="42">
                  <c:v>0.372093023255814</c:v>
                </c:pt>
                <c:pt idx="43">
                  <c:v>0.324324324324324</c:v>
                </c:pt>
                <c:pt idx="44">
                  <c:v>0.333333333333333</c:v>
                </c:pt>
                <c:pt idx="45">
                  <c:v>0.523809523809524</c:v>
                </c:pt>
                <c:pt idx="46">
                  <c:v>0.363636363636364</c:v>
                </c:pt>
                <c:pt idx="47">
                  <c:v>0.477272727272727</c:v>
                </c:pt>
                <c:pt idx="48">
                  <c:v>0.526315789473684</c:v>
                </c:pt>
                <c:pt idx="49">
                  <c:v>0.557692307692308</c:v>
                </c:pt>
                <c:pt idx="50">
                  <c:v>0.361111111111111</c:v>
                </c:pt>
                <c:pt idx="51">
                  <c:v>0.428571428571429</c:v>
                </c:pt>
                <c:pt idx="52">
                  <c:v>0.483870967741935</c:v>
                </c:pt>
                <c:pt idx="53">
                  <c:v>0.425</c:v>
                </c:pt>
                <c:pt idx="54">
                  <c:v>0.357142857142857</c:v>
                </c:pt>
                <c:pt idx="55">
                  <c:v>0.378378378378378</c:v>
                </c:pt>
                <c:pt idx="56">
                  <c:v>0.363636363636364</c:v>
                </c:pt>
                <c:pt idx="57">
                  <c:v>0.404761904761905</c:v>
                </c:pt>
                <c:pt idx="58">
                  <c:v>0.411764705882353</c:v>
                </c:pt>
                <c:pt idx="59">
                  <c:v>0.34375</c:v>
                </c:pt>
                <c:pt idx="60">
                  <c:v>0.5625</c:v>
                </c:pt>
                <c:pt idx="61">
                  <c:v>0.333333333333333</c:v>
                </c:pt>
                <c:pt idx="62">
                  <c:v>0.448275862068965</c:v>
                </c:pt>
                <c:pt idx="63">
                  <c:v>0.236842105263158</c:v>
                </c:pt>
                <c:pt idx="64">
                  <c:v>0.333333333333333</c:v>
                </c:pt>
                <c:pt idx="65">
                  <c:v>0.441176470588235</c:v>
                </c:pt>
                <c:pt idx="66">
                  <c:v>0.45</c:v>
                </c:pt>
                <c:pt idx="67">
                  <c:v>0.5</c:v>
                </c:pt>
                <c:pt idx="68">
                  <c:v>0.324324324324324</c:v>
                </c:pt>
                <c:pt idx="69">
                  <c:v>0.297297297297297</c:v>
                </c:pt>
                <c:pt idx="70">
                  <c:v>0.34375</c:v>
                </c:pt>
                <c:pt idx="71">
                  <c:v>0.25</c:v>
                </c:pt>
                <c:pt idx="72">
                  <c:v>0.431818181818182</c:v>
                </c:pt>
                <c:pt idx="73">
                  <c:v>0.361111111111111</c:v>
                </c:pt>
                <c:pt idx="74">
                  <c:v>0.538461538461538</c:v>
                </c:pt>
                <c:pt idx="75">
                  <c:v>0.48780487804878</c:v>
                </c:pt>
                <c:pt idx="76">
                  <c:v>0.4</c:v>
                </c:pt>
                <c:pt idx="77">
                  <c:v>0.259259259259259</c:v>
                </c:pt>
                <c:pt idx="78">
                  <c:v>0.241379310344828</c:v>
                </c:pt>
                <c:pt idx="79">
                  <c:v>0.423076923076923</c:v>
                </c:pt>
                <c:pt idx="80">
                  <c:v>0.333333333333333</c:v>
                </c:pt>
                <c:pt idx="81">
                  <c:v>0.314285714285714</c:v>
                </c:pt>
                <c:pt idx="82">
                  <c:v>0.392857142857143</c:v>
                </c:pt>
                <c:pt idx="83">
                  <c:v>0.387096774193548</c:v>
                </c:pt>
                <c:pt idx="84">
                  <c:v>0.441860465116279</c:v>
                </c:pt>
                <c:pt idx="85">
                  <c:v>0.291666666666667</c:v>
                </c:pt>
                <c:pt idx="86">
                  <c:v>0.416666666666667</c:v>
                </c:pt>
                <c:pt idx="87">
                  <c:v>0.32</c:v>
                </c:pt>
                <c:pt idx="88">
                  <c:v>0.34375</c:v>
                </c:pt>
                <c:pt idx="89">
                  <c:v>0.432432432432432</c:v>
                </c:pt>
                <c:pt idx="90">
                  <c:v>0.393939393939394</c:v>
                </c:pt>
                <c:pt idx="91">
                  <c:v>0.4</c:v>
                </c:pt>
                <c:pt idx="92">
                  <c:v>0.181818181818182</c:v>
                </c:pt>
                <c:pt idx="93">
                  <c:v>0.433333333333333</c:v>
                </c:pt>
                <c:pt idx="94">
                  <c:v>0.4375</c:v>
                </c:pt>
                <c:pt idx="95">
                  <c:v>0.294117647058824</c:v>
                </c:pt>
                <c:pt idx="96">
                  <c:v>0.45</c:v>
                </c:pt>
                <c:pt idx="97">
                  <c:v>0.405405405405405</c:v>
                </c:pt>
                <c:pt idx="98">
                  <c:v>0.341463414634146</c:v>
                </c:pt>
                <c:pt idx="99">
                  <c:v>0.285714285714286</c:v>
                </c:pt>
                <c:pt idx="100">
                  <c:v>0.391304347826087</c:v>
                </c:pt>
                <c:pt idx="101">
                  <c:v>0.489795918367347</c:v>
                </c:pt>
                <c:pt idx="102">
                  <c:v>0.46875</c:v>
                </c:pt>
                <c:pt idx="103">
                  <c:v>0.414634146341463</c:v>
                </c:pt>
                <c:pt idx="104">
                  <c:v>0.516129032258064</c:v>
                </c:pt>
                <c:pt idx="105">
                  <c:v>0.305555555555556</c:v>
                </c:pt>
                <c:pt idx="106">
                  <c:v>0.288888888888889</c:v>
                </c:pt>
                <c:pt idx="107">
                  <c:v>0.264705882352941</c:v>
                </c:pt>
                <c:pt idx="108">
                  <c:v>0.44</c:v>
                </c:pt>
                <c:pt idx="109">
                  <c:v>0.484848484848485</c:v>
                </c:pt>
                <c:pt idx="110">
                  <c:v>0.22</c:v>
                </c:pt>
                <c:pt idx="111">
                  <c:v>0.349206349206349</c:v>
                </c:pt>
                <c:pt idx="112">
                  <c:v>0.34</c:v>
                </c:pt>
                <c:pt idx="113">
                  <c:v>0.373134328358209</c:v>
                </c:pt>
                <c:pt idx="114">
                  <c:v>0.357142857142857</c:v>
                </c:pt>
                <c:pt idx="115">
                  <c:v>0.447368421052632</c:v>
                </c:pt>
                <c:pt idx="116">
                  <c:v>0.359375</c:v>
                </c:pt>
                <c:pt idx="117">
                  <c:v>0.333333333333333</c:v>
                </c:pt>
                <c:pt idx="118">
                  <c:v>0.333333333333333</c:v>
                </c:pt>
                <c:pt idx="119">
                  <c:v>0.326530612244898</c:v>
                </c:pt>
                <c:pt idx="120">
                  <c:v>0.411764705882353</c:v>
                </c:pt>
                <c:pt idx="121">
                  <c:v>0.333333333333333</c:v>
                </c:pt>
                <c:pt idx="122">
                  <c:v>0.389473684210526</c:v>
                </c:pt>
                <c:pt idx="123">
                  <c:v>0.345132743362832</c:v>
                </c:pt>
                <c:pt idx="124">
                  <c:v>0.411111111111111</c:v>
                </c:pt>
                <c:pt idx="125">
                  <c:v>0.350961538461538</c:v>
                </c:pt>
                <c:pt idx="126">
                  <c:v>0.366852886405959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57392"/>
        <c:axId val="-2137751856"/>
      </c:scatterChart>
      <c:valAx>
        <c:axId val="-213775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7751856"/>
        <c:crosses val="autoZero"/>
        <c:crossBetween val="midCat"/>
      </c:valAx>
      <c:valAx>
        <c:axId val="-213775185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3775739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'freq_each-syn'!$R$2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0.</a:t>
                    </a:r>
                    <a:r>
                      <a:rPr lang="en-US" altLang="zh-CN" baseline="0"/>
                      <a:t>25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0.0046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'freq_each-syn'!$R$3:$R$132</c:f>
              <c:numCache>
                <c:formatCode>General</c:formatCode>
                <c:ptCount val="130"/>
                <c:pt idx="0">
                  <c:v>0.611191860465116</c:v>
                </c:pt>
                <c:pt idx="1">
                  <c:v>0.663879598662207</c:v>
                </c:pt>
                <c:pt idx="2">
                  <c:v>0.641393442622951</c:v>
                </c:pt>
                <c:pt idx="3">
                  <c:v>0.676767676767677</c:v>
                </c:pt>
                <c:pt idx="4">
                  <c:v>0.605809128630705</c:v>
                </c:pt>
                <c:pt idx="5">
                  <c:v>0.617021276595745</c:v>
                </c:pt>
                <c:pt idx="6">
                  <c:v>0.633879781420765</c:v>
                </c:pt>
                <c:pt idx="7">
                  <c:v>0.597633136094675</c:v>
                </c:pt>
                <c:pt idx="8">
                  <c:v>0.701030927835051</c:v>
                </c:pt>
                <c:pt idx="9">
                  <c:v>0.717948717948718</c:v>
                </c:pt>
                <c:pt idx="10">
                  <c:v>0.594827586206897</c:v>
                </c:pt>
                <c:pt idx="11">
                  <c:v>0.666666666666667</c:v>
                </c:pt>
                <c:pt idx="12">
                  <c:v>0.655913978494624</c:v>
                </c:pt>
                <c:pt idx="13">
                  <c:v>0.593023255813954</c:v>
                </c:pt>
                <c:pt idx="14">
                  <c:v>0.55</c:v>
                </c:pt>
                <c:pt idx="15">
                  <c:v>0.578313253012048</c:v>
                </c:pt>
                <c:pt idx="16">
                  <c:v>0.703125</c:v>
                </c:pt>
                <c:pt idx="17">
                  <c:v>0.6875</c:v>
                </c:pt>
                <c:pt idx="18">
                  <c:v>0.694444444444444</c:v>
                </c:pt>
                <c:pt idx="19">
                  <c:v>0.62</c:v>
                </c:pt>
                <c:pt idx="20">
                  <c:v>0.52</c:v>
                </c:pt>
                <c:pt idx="21">
                  <c:v>0.5625</c:v>
                </c:pt>
                <c:pt idx="22">
                  <c:v>0.731707317073171</c:v>
                </c:pt>
                <c:pt idx="23">
                  <c:v>0.634615384615384</c:v>
                </c:pt>
                <c:pt idx="24">
                  <c:v>0.653061224489796</c:v>
                </c:pt>
                <c:pt idx="25">
                  <c:v>0.639344262295082</c:v>
                </c:pt>
                <c:pt idx="26">
                  <c:v>0.608695652173913</c:v>
                </c:pt>
                <c:pt idx="27">
                  <c:v>0.638297872340425</c:v>
                </c:pt>
                <c:pt idx="28">
                  <c:v>0.642857142857143</c:v>
                </c:pt>
                <c:pt idx="29">
                  <c:v>0.595238095238095</c:v>
                </c:pt>
                <c:pt idx="30">
                  <c:v>0.613636363636364</c:v>
                </c:pt>
                <c:pt idx="31">
                  <c:v>0.638888888888889</c:v>
                </c:pt>
                <c:pt idx="32">
                  <c:v>0.625</c:v>
                </c:pt>
                <c:pt idx="33">
                  <c:v>0.567567567567568</c:v>
                </c:pt>
                <c:pt idx="34">
                  <c:v>0.53125</c:v>
                </c:pt>
                <c:pt idx="35">
                  <c:v>0.787878787878788</c:v>
                </c:pt>
                <c:pt idx="36">
                  <c:v>0.583333333333333</c:v>
                </c:pt>
                <c:pt idx="37">
                  <c:v>0.527777777777778</c:v>
                </c:pt>
                <c:pt idx="38">
                  <c:v>0.6</c:v>
                </c:pt>
                <c:pt idx="39">
                  <c:v>0.59375</c:v>
                </c:pt>
                <c:pt idx="40">
                  <c:v>0.53125</c:v>
                </c:pt>
                <c:pt idx="41">
                  <c:v>0.578947368421053</c:v>
                </c:pt>
                <c:pt idx="42">
                  <c:v>0.648648648648649</c:v>
                </c:pt>
                <c:pt idx="43">
                  <c:v>0.702702702702703</c:v>
                </c:pt>
                <c:pt idx="44">
                  <c:v>0.514285714285714</c:v>
                </c:pt>
                <c:pt idx="45">
                  <c:v>0.666666666666667</c:v>
                </c:pt>
                <c:pt idx="46">
                  <c:v>0.481481481481481</c:v>
                </c:pt>
                <c:pt idx="47">
                  <c:v>0.666666666666667</c:v>
                </c:pt>
                <c:pt idx="48">
                  <c:v>0.59375</c:v>
                </c:pt>
                <c:pt idx="49">
                  <c:v>0.583333333333333</c:v>
                </c:pt>
                <c:pt idx="50">
                  <c:v>0.5</c:v>
                </c:pt>
                <c:pt idx="51">
                  <c:v>0.615384615384615</c:v>
                </c:pt>
                <c:pt idx="52">
                  <c:v>0.666666666666667</c:v>
                </c:pt>
                <c:pt idx="53">
                  <c:v>0.645161290322581</c:v>
                </c:pt>
                <c:pt idx="54">
                  <c:v>0.638888888888889</c:v>
                </c:pt>
                <c:pt idx="55">
                  <c:v>0.6</c:v>
                </c:pt>
                <c:pt idx="56">
                  <c:v>0.52</c:v>
                </c:pt>
                <c:pt idx="57">
                  <c:v>0.521739130434783</c:v>
                </c:pt>
                <c:pt idx="58">
                  <c:v>0.615384615384615</c:v>
                </c:pt>
                <c:pt idx="59">
                  <c:v>0.566666666666667</c:v>
                </c:pt>
                <c:pt idx="60">
                  <c:v>0.416666666666667</c:v>
                </c:pt>
                <c:pt idx="61">
                  <c:v>0.535714285714286</c:v>
                </c:pt>
                <c:pt idx="62">
                  <c:v>0.636363636363636</c:v>
                </c:pt>
                <c:pt idx="63">
                  <c:v>0.567567567567568</c:v>
                </c:pt>
                <c:pt idx="64">
                  <c:v>0.633333333333333</c:v>
                </c:pt>
                <c:pt idx="65">
                  <c:v>0.387096774193548</c:v>
                </c:pt>
                <c:pt idx="66">
                  <c:v>0.555555555555556</c:v>
                </c:pt>
                <c:pt idx="67">
                  <c:v>0.473684210526316</c:v>
                </c:pt>
                <c:pt idx="68">
                  <c:v>0.631578947368421</c:v>
                </c:pt>
                <c:pt idx="69">
                  <c:v>0.52</c:v>
                </c:pt>
                <c:pt idx="70">
                  <c:v>0.421052631578947</c:v>
                </c:pt>
                <c:pt idx="71">
                  <c:v>0.5</c:v>
                </c:pt>
                <c:pt idx="72">
                  <c:v>0.516129032258064</c:v>
                </c:pt>
                <c:pt idx="73">
                  <c:v>0.71875</c:v>
                </c:pt>
                <c:pt idx="74">
                  <c:v>0.648648648648649</c:v>
                </c:pt>
                <c:pt idx="75">
                  <c:v>0.571428571428571</c:v>
                </c:pt>
                <c:pt idx="76">
                  <c:v>0.552631578947368</c:v>
                </c:pt>
                <c:pt idx="77">
                  <c:v>0.68</c:v>
                </c:pt>
                <c:pt idx="78">
                  <c:v>0.761904761904762</c:v>
                </c:pt>
                <c:pt idx="79">
                  <c:v>0.523809523809524</c:v>
                </c:pt>
                <c:pt idx="80">
                  <c:v>0.555555555555556</c:v>
                </c:pt>
                <c:pt idx="81">
                  <c:v>0.59375</c:v>
                </c:pt>
                <c:pt idx="82">
                  <c:v>0.476190476190476</c:v>
                </c:pt>
                <c:pt idx="83">
                  <c:v>0.5</c:v>
                </c:pt>
                <c:pt idx="84">
                  <c:v>0.523809523809524</c:v>
                </c:pt>
                <c:pt idx="85">
                  <c:v>0.612903225806452</c:v>
                </c:pt>
                <c:pt idx="86">
                  <c:v>0.6</c:v>
                </c:pt>
                <c:pt idx="87">
                  <c:v>0.636363636363636</c:v>
                </c:pt>
                <c:pt idx="88">
                  <c:v>0.655172413793103</c:v>
                </c:pt>
                <c:pt idx="89">
                  <c:v>0.518518518518518</c:v>
                </c:pt>
                <c:pt idx="90">
                  <c:v>0.4</c:v>
                </c:pt>
                <c:pt idx="91">
                  <c:v>0.62962962962963</c:v>
                </c:pt>
                <c:pt idx="92">
                  <c:v>0.696969696969697</c:v>
                </c:pt>
                <c:pt idx="93">
                  <c:v>0.5625</c:v>
                </c:pt>
                <c:pt idx="94">
                  <c:v>0.45</c:v>
                </c:pt>
                <c:pt idx="95">
                  <c:v>0.441176470588235</c:v>
                </c:pt>
                <c:pt idx="96">
                  <c:v>0.606060606060606</c:v>
                </c:pt>
                <c:pt idx="97">
                  <c:v>0.458333333333333</c:v>
                </c:pt>
                <c:pt idx="98">
                  <c:v>0.4375</c:v>
                </c:pt>
                <c:pt idx="99">
                  <c:v>0.533333333333333</c:v>
                </c:pt>
                <c:pt idx="100">
                  <c:v>0.523809523809524</c:v>
                </c:pt>
                <c:pt idx="101">
                  <c:v>0.483870967741935</c:v>
                </c:pt>
                <c:pt idx="102">
                  <c:v>0.548387096774193</c:v>
                </c:pt>
                <c:pt idx="103">
                  <c:v>0.583333333333333</c:v>
                </c:pt>
                <c:pt idx="104">
                  <c:v>0.571428571428571</c:v>
                </c:pt>
                <c:pt idx="105">
                  <c:v>0.586206896551724</c:v>
                </c:pt>
                <c:pt idx="106">
                  <c:v>0.708333333333333</c:v>
                </c:pt>
                <c:pt idx="107">
                  <c:v>0.636363636363636</c:v>
                </c:pt>
                <c:pt idx="108">
                  <c:v>0.566666666666667</c:v>
                </c:pt>
                <c:pt idx="109">
                  <c:v>0.551724137931034</c:v>
                </c:pt>
                <c:pt idx="110">
                  <c:v>0.560975609756098</c:v>
                </c:pt>
                <c:pt idx="111">
                  <c:v>0.5</c:v>
                </c:pt>
                <c:pt idx="112">
                  <c:v>0.709677419354839</c:v>
                </c:pt>
                <c:pt idx="113">
                  <c:v>0.625</c:v>
                </c:pt>
                <c:pt idx="114">
                  <c:v>0.511111111111111</c:v>
                </c:pt>
                <c:pt idx="115">
                  <c:v>0.628571428571428</c:v>
                </c:pt>
                <c:pt idx="116">
                  <c:v>0.522727272727273</c:v>
                </c:pt>
                <c:pt idx="117">
                  <c:v>0.627906976744186</c:v>
                </c:pt>
                <c:pt idx="118">
                  <c:v>0.568181818181818</c:v>
                </c:pt>
                <c:pt idx="119">
                  <c:v>0.484848484848485</c:v>
                </c:pt>
                <c:pt idx="120">
                  <c:v>0.540540540540541</c:v>
                </c:pt>
                <c:pt idx="121">
                  <c:v>0.584905660377358</c:v>
                </c:pt>
                <c:pt idx="122">
                  <c:v>0.446808510638298</c:v>
                </c:pt>
                <c:pt idx="123">
                  <c:v>0.72</c:v>
                </c:pt>
                <c:pt idx="124">
                  <c:v>0.585585585585586</c:v>
                </c:pt>
                <c:pt idx="125">
                  <c:v>0.522222222222222</c:v>
                </c:pt>
                <c:pt idx="126">
                  <c:v>0.578635014836795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'freq_each-syn'!$S$2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r>
                      <a:rPr lang="en-US" altLang="zh-CN" baseline="0"/>
                      <a:t>.25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0.0046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'freq_each-syn'!$S$3:$S$132</c:f>
              <c:numCache>
                <c:formatCode>General</c:formatCode>
                <c:ptCount val="130"/>
                <c:pt idx="0">
                  <c:v>0.388808139534884</c:v>
                </c:pt>
                <c:pt idx="1">
                  <c:v>0.336120401337793</c:v>
                </c:pt>
                <c:pt idx="2">
                  <c:v>0.358606557377049</c:v>
                </c:pt>
                <c:pt idx="3">
                  <c:v>0.323232323232323</c:v>
                </c:pt>
                <c:pt idx="4">
                  <c:v>0.394190871369295</c:v>
                </c:pt>
                <c:pt idx="5">
                  <c:v>0.382978723404255</c:v>
                </c:pt>
                <c:pt idx="6">
                  <c:v>0.366120218579235</c:v>
                </c:pt>
                <c:pt idx="7">
                  <c:v>0.402366863905325</c:v>
                </c:pt>
                <c:pt idx="8">
                  <c:v>0.298969072164948</c:v>
                </c:pt>
                <c:pt idx="9">
                  <c:v>0.282051282051282</c:v>
                </c:pt>
                <c:pt idx="10">
                  <c:v>0.405172413793103</c:v>
                </c:pt>
                <c:pt idx="11">
                  <c:v>0.333333333333333</c:v>
                </c:pt>
                <c:pt idx="12">
                  <c:v>0.344086021505376</c:v>
                </c:pt>
                <c:pt idx="13">
                  <c:v>0.406976744186046</c:v>
                </c:pt>
                <c:pt idx="14">
                  <c:v>0.45</c:v>
                </c:pt>
                <c:pt idx="15">
                  <c:v>0.421686746987952</c:v>
                </c:pt>
                <c:pt idx="16">
                  <c:v>0.296875</c:v>
                </c:pt>
                <c:pt idx="17">
                  <c:v>0.3125</c:v>
                </c:pt>
                <c:pt idx="18">
                  <c:v>0.305555555555556</c:v>
                </c:pt>
                <c:pt idx="19">
                  <c:v>0.38</c:v>
                </c:pt>
                <c:pt idx="20">
                  <c:v>0.48</c:v>
                </c:pt>
                <c:pt idx="21">
                  <c:v>0.4375</c:v>
                </c:pt>
                <c:pt idx="22">
                  <c:v>0.268292682926829</c:v>
                </c:pt>
                <c:pt idx="23">
                  <c:v>0.365384615384615</c:v>
                </c:pt>
                <c:pt idx="24">
                  <c:v>0.346938775510204</c:v>
                </c:pt>
                <c:pt idx="25">
                  <c:v>0.360655737704918</c:v>
                </c:pt>
                <c:pt idx="26">
                  <c:v>0.391304347826087</c:v>
                </c:pt>
                <c:pt idx="27">
                  <c:v>0.361702127659574</c:v>
                </c:pt>
                <c:pt idx="28">
                  <c:v>0.357142857142857</c:v>
                </c:pt>
                <c:pt idx="29">
                  <c:v>0.404761904761905</c:v>
                </c:pt>
                <c:pt idx="30">
                  <c:v>0.386363636363636</c:v>
                </c:pt>
                <c:pt idx="31">
                  <c:v>0.361111111111111</c:v>
                </c:pt>
                <c:pt idx="32">
                  <c:v>0.375</c:v>
                </c:pt>
                <c:pt idx="33">
                  <c:v>0.432432432432432</c:v>
                </c:pt>
                <c:pt idx="34">
                  <c:v>0.46875</c:v>
                </c:pt>
                <c:pt idx="35">
                  <c:v>0.212121212121212</c:v>
                </c:pt>
                <c:pt idx="36">
                  <c:v>0.416666666666667</c:v>
                </c:pt>
                <c:pt idx="37">
                  <c:v>0.472222222222222</c:v>
                </c:pt>
                <c:pt idx="38">
                  <c:v>0.4</c:v>
                </c:pt>
                <c:pt idx="39">
                  <c:v>0.40625</c:v>
                </c:pt>
                <c:pt idx="40">
                  <c:v>0.46875</c:v>
                </c:pt>
                <c:pt idx="41">
                  <c:v>0.421052631578947</c:v>
                </c:pt>
                <c:pt idx="42">
                  <c:v>0.351351351351351</c:v>
                </c:pt>
                <c:pt idx="43">
                  <c:v>0.297297297297297</c:v>
                </c:pt>
                <c:pt idx="44">
                  <c:v>0.485714285714286</c:v>
                </c:pt>
                <c:pt idx="45">
                  <c:v>0.333333333333333</c:v>
                </c:pt>
                <c:pt idx="46">
                  <c:v>0.518518518518518</c:v>
                </c:pt>
                <c:pt idx="47">
                  <c:v>0.333333333333333</c:v>
                </c:pt>
                <c:pt idx="48">
                  <c:v>0.40625</c:v>
                </c:pt>
                <c:pt idx="49">
                  <c:v>0.416666666666667</c:v>
                </c:pt>
                <c:pt idx="50">
                  <c:v>0.5</c:v>
                </c:pt>
                <c:pt idx="51">
                  <c:v>0.384615384615385</c:v>
                </c:pt>
                <c:pt idx="52">
                  <c:v>0.333333333333333</c:v>
                </c:pt>
                <c:pt idx="53">
                  <c:v>0.354838709677419</c:v>
                </c:pt>
                <c:pt idx="54">
                  <c:v>0.361111111111111</c:v>
                </c:pt>
                <c:pt idx="55">
                  <c:v>0.4</c:v>
                </c:pt>
                <c:pt idx="56">
                  <c:v>0.48</c:v>
                </c:pt>
                <c:pt idx="57">
                  <c:v>0.478260869565217</c:v>
                </c:pt>
                <c:pt idx="58">
                  <c:v>0.384615384615385</c:v>
                </c:pt>
                <c:pt idx="59">
                  <c:v>0.433333333333333</c:v>
                </c:pt>
                <c:pt idx="60">
                  <c:v>0.583333333333333</c:v>
                </c:pt>
                <c:pt idx="61">
                  <c:v>0.464285714285714</c:v>
                </c:pt>
                <c:pt idx="62">
                  <c:v>0.363636363636364</c:v>
                </c:pt>
                <c:pt idx="63">
                  <c:v>0.432432432432432</c:v>
                </c:pt>
                <c:pt idx="64">
                  <c:v>0.366666666666667</c:v>
                </c:pt>
                <c:pt idx="65">
                  <c:v>0.612903225806452</c:v>
                </c:pt>
                <c:pt idx="66">
                  <c:v>0.444444444444444</c:v>
                </c:pt>
                <c:pt idx="67">
                  <c:v>0.526315789473684</c:v>
                </c:pt>
                <c:pt idx="68">
                  <c:v>0.368421052631579</c:v>
                </c:pt>
                <c:pt idx="69">
                  <c:v>0.48</c:v>
                </c:pt>
                <c:pt idx="70">
                  <c:v>0.578947368421053</c:v>
                </c:pt>
                <c:pt idx="71">
                  <c:v>0.5</c:v>
                </c:pt>
                <c:pt idx="72">
                  <c:v>0.483870967741935</c:v>
                </c:pt>
                <c:pt idx="73">
                  <c:v>0.28125</c:v>
                </c:pt>
                <c:pt idx="74">
                  <c:v>0.351351351351351</c:v>
                </c:pt>
                <c:pt idx="75">
                  <c:v>0.428571428571429</c:v>
                </c:pt>
                <c:pt idx="76">
                  <c:v>0.447368421052632</c:v>
                </c:pt>
                <c:pt idx="77">
                  <c:v>0.32</c:v>
                </c:pt>
                <c:pt idx="78">
                  <c:v>0.238095238095238</c:v>
                </c:pt>
                <c:pt idx="79">
                  <c:v>0.476190476190476</c:v>
                </c:pt>
                <c:pt idx="80">
                  <c:v>0.444444444444444</c:v>
                </c:pt>
                <c:pt idx="81">
                  <c:v>0.40625</c:v>
                </c:pt>
                <c:pt idx="82">
                  <c:v>0.523809523809524</c:v>
                </c:pt>
                <c:pt idx="83">
                  <c:v>0.5</c:v>
                </c:pt>
                <c:pt idx="84">
                  <c:v>0.476190476190476</c:v>
                </c:pt>
                <c:pt idx="85">
                  <c:v>0.387096774193548</c:v>
                </c:pt>
                <c:pt idx="86">
                  <c:v>0.4</c:v>
                </c:pt>
                <c:pt idx="87">
                  <c:v>0.363636363636364</c:v>
                </c:pt>
                <c:pt idx="88">
                  <c:v>0.344827586206897</c:v>
                </c:pt>
                <c:pt idx="89">
                  <c:v>0.481481481481481</c:v>
                </c:pt>
                <c:pt idx="90">
                  <c:v>0.6</c:v>
                </c:pt>
                <c:pt idx="91">
                  <c:v>0.37037037037037</c:v>
                </c:pt>
                <c:pt idx="92">
                  <c:v>0.303030303030303</c:v>
                </c:pt>
                <c:pt idx="93">
                  <c:v>0.4375</c:v>
                </c:pt>
                <c:pt idx="94">
                  <c:v>0.55</c:v>
                </c:pt>
                <c:pt idx="95">
                  <c:v>0.558823529411765</c:v>
                </c:pt>
                <c:pt idx="96">
                  <c:v>0.393939393939394</c:v>
                </c:pt>
                <c:pt idx="97">
                  <c:v>0.541666666666667</c:v>
                </c:pt>
                <c:pt idx="98">
                  <c:v>0.5625</c:v>
                </c:pt>
                <c:pt idx="99">
                  <c:v>0.466666666666667</c:v>
                </c:pt>
                <c:pt idx="100">
                  <c:v>0.476190476190476</c:v>
                </c:pt>
                <c:pt idx="101">
                  <c:v>0.516129032258064</c:v>
                </c:pt>
                <c:pt idx="102">
                  <c:v>0.451612903225806</c:v>
                </c:pt>
                <c:pt idx="103">
                  <c:v>0.416666666666667</c:v>
                </c:pt>
                <c:pt idx="104">
                  <c:v>0.428571428571429</c:v>
                </c:pt>
                <c:pt idx="105">
                  <c:v>0.413793103448276</c:v>
                </c:pt>
                <c:pt idx="106">
                  <c:v>0.291666666666667</c:v>
                </c:pt>
                <c:pt idx="107">
                  <c:v>0.363636363636364</c:v>
                </c:pt>
                <c:pt idx="108">
                  <c:v>0.433333333333333</c:v>
                </c:pt>
                <c:pt idx="109">
                  <c:v>0.448275862068965</c:v>
                </c:pt>
                <c:pt idx="110">
                  <c:v>0.439024390243902</c:v>
                </c:pt>
                <c:pt idx="111">
                  <c:v>0.5</c:v>
                </c:pt>
                <c:pt idx="112">
                  <c:v>0.290322580645161</c:v>
                </c:pt>
                <c:pt idx="113">
                  <c:v>0.375</c:v>
                </c:pt>
                <c:pt idx="114">
                  <c:v>0.488888888888889</c:v>
                </c:pt>
                <c:pt idx="115">
                  <c:v>0.371428571428571</c:v>
                </c:pt>
                <c:pt idx="116">
                  <c:v>0.477272727272727</c:v>
                </c:pt>
                <c:pt idx="117">
                  <c:v>0.372093023255814</c:v>
                </c:pt>
                <c:pt idx="118">
                  <c:v>0.431818181818182</c:v>
                </c:pt>
                <c:pt idx="119">
                  <c:v>0.515151515151515</c:v>
                </c:pt>
                <c:pt idx="120">
                  <c:v>0.459459459459459</c:v>
                </c:pt>
                <c:pt idx="121">
                  <c:v>0.415094339622642</c:v>
                </c:pt>
                <c:pt idx="122">
                  <c:v>0.553191489361702</c:v>
                </c:pt>
                <c:pt idx="123">
                  <c:v>0.28</c:v>
                </c:pt>
                <c:pt idx="124">
                  <c:v>0.414414414414414</c:v>
                </c:pt>
                <c:pt idx="125">
                  <c:v>0.477777777777778</c:v>
                </c:pt>
                <c:pt idx="126">
                  <c:v>0.421364985163205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24224"/>
        <c:axId val="2136529760"/>
      </c:scatterChart>
      <c:valAx>
        <c:axId val="2136524224"/>
        <c:scaling>
          <c:orientation val="minMax"/>
          <c:max val="14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529760"/>
        <c:crosses val="autoZero"/>
        <c:crossBetween val="midCat"/>
        <c:majorUnit val="20.0"/>
      </c:valAx>
      <c:valAx>
        <c:axId val="213652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36524224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14</xdr:col>
      <xdr:colOff>558800</xdr:colOff>
      <xdr:row>37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22</xdr:col>
      <xdr:colOff>558800</xdr:colOff>
      <xdr:row>37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558800</xdr:colOff>
      <xdr:row>37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6</xdr:col>
      <xdr:colOff>558800</xdr:colOff>
      <xdr:row>37</xdr:row>
      <xdr:rowOff>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234949</xdr:colOff>
      <xdr:row>45</xdr:row>
      <xdr:rowOff>44450</xdr:rowOff>
    </xdr:from>
    <xdr:to>
      <xdr:col>15</xdr:col>
      <xdr:colOff>681566</xdr:colOff>
      <xdr:row>68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13</xdr:row>
      <xdr:rowOff>0</xdr:rowOff>
    </xdr:from>
    <xdr:to>
      <xdr:col>38</xdr:col>
      <xdr:colOff>558800</xdr:colOff>
      <xdr:row>37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13</xdr:row>
      <xdr:rowOff>0</xdr:rowOff>
    </xdr:from>
    <xdr:to>
      <xdr:col>46</xdr:col>
      <xdr:colOff>558800</xdr:colOff>
      <xdr:row>37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498818</xdr:colOff>
      <xdr:row>0</xdr:row>
      <xdr:rowOff>0</xdr:rowOff>
    </xdr:from>
    <xdr:to>
      <xdr:col>31</xdr:col>
      <xdr:colOff>443734</xdr:colOff>
      <xdr:row>32</xdr:row>
      <xdr:rowOff>155154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504939</xdr:colOff>
      <xdr:row>34</xdr:row>
      <xdr:rowOff>61205</xdr:rowOff>
    </xdr:from>
    <xdr:to>
      <xdr:col>31</xdr:col>
      <xdr:colOff>449855</xdr:colOff>
      <xdr:row>67</xdr:row>
      <xdr:rowOff>32745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489638</xdr:colOff>
      <xdr:row>68</xdr:row>
      <xdr:rowOff>0</xdr:rowOff>
    </xdr:from>
    <xdr:to>
      <xdr:col>31</xdr:col>
      <xdr:colOff>434554</xdr:colOff>
      <xdr:row>100</xdr:row>
      <xdr:rowOff>155154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560022</xdr:colOff>
      <xdr:row>40</xdr:row>
      <xdr:rowOff>137712</xdr:rowOff>
    </xdr:from>
    <xdr:to>
      <xdr:col>18</xdr:col>
      <xdr:colOff>688553</xdr:colOff>
      <xdr:row>73</xdr:row>
      <xdr:rowOff>109252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4</xdr:row>
      <xdr:rowOff>177800</xdr:rowOff>
    </xdr:from>
    <xdr:to>
      <xdr:col>19</xdr:col>
      <xdr:colOff>723900</xdr:colOff>
      <xdr:row>28</xdr:row>
      <xdr:rowOff>177800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863600</xdr:colOff>
      <xdr:row>30</xdr:row>
      <xdr:rowOff>165100</xdr:rowOff>
    </xdr:from>
    <xdr:to>
      <xdr:col>9</xdr:col>
      <xdr:colOff>406400</xdr:colOff>
      <xdr:row>45</xdr:row>
      <xdr:rowOff>50800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94</xdr:row>
      <xdr:rowOff>0</xdr:rowOff>
    </xdr:from>
    <xdr:to>
      <xdr:col>9</xdr:col>
      <xdr:colOff>800100</xdr:colOff>
      <xdr:row>108</xdr:row>
      <xdr:rowOff>76200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0.00278</cdr:x>
      <cdr:y>0.00463</cdr:y>
    </cdr:from>
    <cdr:to>
      <cdr:x>0.07222</cdr:x>
      <cdr:y>0.09259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700" y="12700"/>
          <a:ext cx="317500" cy="241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>
              <a:latin typeface="Arial" charset="0"/>
              <a:ea typeface="Arial" charset="0"/>
              <a:cs typeface="Arial" charset="0"/>
            </a:rPr>
            <a:t>B</a:t>
          </a:r>
          <a:endParaRPr lang="zh-CN" altLang="en-US" sz="1000"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0.00278</cdr:x>
      <cdr:y>0.00463</cdr:y>
    </cdr:from>
    <cdr:to>
      <cdr:x>0.07222</cdr:x>
      <cdr:y>0.09259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2700" y="12700"/>
          <a:ext cx="317500" cy="241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>
              <a:latin typeface="Arial" charset="0"/>
              <a:ea typeface="Arial" charset="0"/>
              <a:cs typeface="Arial" charset="0"/>
            </a:rPr>
            <a:t>B</a:t>
          </a:r>
          <a:endParaRPr lang="zh-CN" altLang="en-US" sz="10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0.00278</cdr:x>
      <cdr:y>0.00463</cdr:y>
    </cdr:from>
    <cdr:to>
      <cdr:x>0.07222</cdr:x>
      <cdr:y>0.09259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700" y="12700"/>
          <a:ext cx="317500" cy="241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>
              <a:latin typeface="Arial" charset="0"/>
              <a:ea typeface="Arial" charset="0"/>
              <a:cs typeface="Arial" charset="0"/>
            </a:rPr>
            <a:t>B</a:t>
          </a:r>
          <a:endParaRPr lang="zh-CN" altLang="en-US" sz="1000"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0.00278</cdr:x>
      <cdr:y>0.00463</cdr:y>
    </cdr:from>
    <cdr:to>
      <cdr:x>0.07222</cdr:x>
      <cdr:y>0.09259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2700" y="12700"/>
          <a:ext cx="317500" cy="241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>
              <a:latin typeface="Arial" charset="0"/>
              <a:ea typeface="Arial" charset="0"/>
              <a:cs typeface="Arial" charset="0"/>
            </a:rPr>
            <a:t>B</a:t>
          </a:r>
          <a:endParaRPr lang="zh-CN" altLang="en-US" sz="10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863600</xdr:colOff>
      <xdr:row>30</xdr:row>
      <xdr:rowOff>165100</xdr:rowOff>
    </xdr:from>
    <xdr:to>
      <xdr:col>9</xdr:col>
      <xdr:colOff>406400</xdr:colOff>
      <xdr:row>45</xdr:row>
      <xdr:rowOff>50800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876300</xdr:colOff>
      <xdr:row>31</xdr:row>
      <xdr:rowOff>0</xdr:rowOff>
    </xdr:from>
    <xdr:to>
      <xdr:col>5</xdr:col>
      <xdr:colOff>1193800</xdr:colOff>
      <xdr:row>32</xdr:row>
      <xdr:rowOff>50800</xdr:rowOff>
    </xdr:to>
    <xdr:sp macro="" textlink="">
      <xdr:nvSpPr>
        <xdr:cNvPr id="3" name="文本框 2"/>
        <xdr:cNvSpPr txBox="1"/>
      </xdr:nvSpPr>
      <xdr:spPr>
        <a:xfrm>
          <a:off x="6731000" y="5905500"/>
          <a:ext cx="3175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Arial" charset="0"/>
              <a:ea typeface="Arial" charset="0"/>
              <a:cs typeface="Arial" charset="0"/>
            </a:rPr>
            <a:t>C</a:t>
          </a:r>
          <a:endParaRPr lang="zh-CN" altLang="en-US" sz="1000"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1231900</xdr:colOff>
      <xdr:row>93</xdr:row>
      <xdr:rowOff>101600</xdr:rowOff>
    </xdr:from>
    <xdr:to>
      <xdr:col>8</xdr:col>
      <xdr:colOff>774700</xdr:colOff>
      <xdr:row>107</xdr:row>
      <xdr:rowOff>177800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dd_SNP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cds_stat_loop_GC_AT_freq_10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6_stat_loop_AT_GC_freq_10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7_stat_loop_AT_GC_freq_10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8_stat_loop_AT_GC_freq_10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9_stat_loop_AT_GC_freq_10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0_stat_loop_AT_GC_freq_10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1_stat_loop_AT_GC_freq_10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2_stat_loop_AT_GC_freq_10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3_stat_loop_AT_GC_freq_10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4_stat_loop_AT_GC_freq_10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5_stat_loop_AT_GC_freq_1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cds_stat_freq_10_chi_square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_stat_loop_GC_AT_freq_10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2_stat_loop_GC_AT_freq_10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3_stat_loop_GC_AT_freq_10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4_stat_loop_GC_AT_freq_10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5_stat_loop_GC_AT_freq_10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6_stat_loop_GC_AT_freq_10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7_stat_loop_GC_AT_freq_10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8_stat_loop_GC_AT_freq_10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9_stat_loop_GC_AT_freq_10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0_stat_loop_GC_AT_freq_1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utr_stat_SNPs_freq_10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1_stat_loop_GC_AT_freq_10.csv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2_stat_loop_GC_AT_freq_10.csv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3_stat_loop_GC_AT_freq_10.csv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4_stat_loop_GC_AT_freq_10.csv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5_stat_loop_GC_AT_freq_10.csv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1_stat_stem_AT_GC_freq_10.csv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2_stat_stem_AT_GC_freq_10.csv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3_stat_stem_AT_GC_freq_10.csv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4_stat_stem_AT_GC_freq_10.csv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5_stat_stem_AT_GC_freq_10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utr_stat_gene_freq_10.csv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6_stat_stem_AT_GC_freq_10.csv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7_stat_stem_AT_GC_freq_10.csv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8_stat_stem_AT_GC_freq_10.csv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9_stat_stem_AT_GC_freq_10.csv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10_stat_stem_AT_GC_freq_10.csv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11_stat_stem_AT_GC_freq_10.csv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12_stat_stem_AT_GC_freq_10.csv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13_stat_stem_AT_GC_freq_10.csv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14_stat_stem_AT_GC_freq_10.csv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15_stat_stem_AT_GC_freq_1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utr_stat_stem_freq_10.csv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CC_16_stat_stem_AT_GC_freq_10.csv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1_stat_stem_AT_GC_freq_10.csv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2_stat_stem_AT_GC_freq_10.csv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3_stat_stem_AT_GC_freq_10.csv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4_stat_stem_AT_GC_freq_10.csv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5_stat_stem_AT_GC_freq_10.csv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6_stat_stem_AT_GC_freq_10.csv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7_stat_stem_AT_GC_freq_10.csv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8_stat_stem_AT_GC_freq_10.csv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9_stat_stem_AT_GC_freq_1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utr_stat_loop_freq_10.csv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10_stat_stem_AT_GC_freq_10.csv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11_stat_stem_AT_GC_freq_10.csv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12_stat_stem_AT_GC_freq_10.csv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13_stat_stem_AT_GC_freq_10.csv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14_stat_stem_AT_GC_freq_10.csv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15_stat_stem_AT_GC_freq_10.csv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BP_16_stat_stem_AT_GC_freq_10.csv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1_stat_stem_AT_GC_freq_10.csv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2_stat_stem_AT_GC_freq_10.csv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3_stat_stem_AT_GC_freq_1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utr_stat_stem_AT_GC_freq_10.csv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4_stat_stem_AT_GC_freq_10.csv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5_stat_stem_AT_GC_freq_10.csv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6_stat_stem_AT_GC_freq_10.csv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7_stat_stem_AT_GC_freq_10.csv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8_stat_stem_AT_GC_freq_10.csv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9_stat_stem_AT_GC_freq_10.csv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10_stat_stem_AT_GC_freq_10.csv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11_stat_stem_AT_GC_freq_10.csv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12_stat_stem_AT_GC_freq_10.csv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13_stat_stem_AT_GC_freq_1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utr_stat_loop_AT_GC_freq_10.csv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14_stat_stem_AT_GC_freq_10.csv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15_stat_stem_AT_GC_freq_10.csv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GO/MF_16_stat_stem_AT_GC_freq_10.csv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_stat_stem_AT_GC_freq_10.csv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_stat_stem_AT_GC_freq_10.csv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3_stat_stem_AT_GC_freq_10.csv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4_stat_stem_AT_GC_freq_10.csv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5_stat_stem_AT_GC_freq_10.csv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6_stat_stem_AT_GC_freq_10.csv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7_stat_stem_AT_GC_freq_1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utr_stat_stem_GC_AT_freq_10.csv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8_stat_stem_AT_GC_freq_10.csv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9_stat_stem_AT_GC_freq_10.csv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0_stat_stem_AT_GC_freq_10.csv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1_stat_stem_AT_GC_freq_10.csv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2_stat_stem_AT_GC_freq_10.csv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3_stat_stem_AT_GC_freq_10.csv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4_stat_stem_AT_GC_freq_10.csv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5_stat_stem_AT_GC_freq_10.csv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6_stat_stem_AT_GC_freq_10.csv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7_stat_stem_AT_GC_freq_1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utr_stat_loop_GC_AT_freq_10.csv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8_stat_stem_AT_GC_freq_10.csv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19_stat_stem_AT_GC_freq_10.csv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0_stat_stem_AT_GC_freq_10.csv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1_stat_stem_AT_GC_freq_10.csv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2_stat_stem_AT_GC_freq_10.csv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3_stat_stem_AT_GC_freq_10.csv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4_stat_stem_AT_GC_freq_10.csv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5_stat_stem_AT_GC_freq_10.csv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6_stat_stem_AT_GC_freq_10.csv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7_stat_stem_AT_GC_freq_1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dd_gene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utr_stat_freq_10_chi_square.csv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8_stat_stem_AT_GC_freq_10.csv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29_stat_stem_AT_GC_freq_10.csv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30_stat_stem_AT_GC_freq_10.csv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31_stat_stem_AT_GC_freq_10.csv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KEGG/KEGG_32_stat_stem_AT_GC_freq_10.csv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10/KEGG/KEGG_21_stat_SNPs_freq_10.csv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10/KEGG/KEGG_21_stat_gene_freq_10.csv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10/KEGG/KEGG_20_stat_stem_freq_10.csv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10/KEGG/KEGG_21_stat_loop_freq_10.csv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10/KEGG/KEGG_20_stat_stem_AT_GC_freq_1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syn_stat_SNPs_freq_10.csv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10/KEGG/KEGG_21_stat_loop_AT_GC_freq_10.csv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10/KEGG/KEGG_20_stat_stem_GC_AT_freq_10.csv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10/KEGG/KEGG_21_stat_loop_GC_AT_freq_1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syn_stat_gene_freq_1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syn_stat_stem_freq_1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syn_stat_loop_freq_1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syn_stat_stem_AT_GC_freq_1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syn_stat_loop_AT_GC_freq_1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syn_stat_stem_GC_AT_freq_1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syn_stat_loop_GC_AT_freq_10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syn_stat_freq_10_chi_squar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cds_stat_SNPs_freq_1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nsy_stat_SNPs_freq_10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nsy_stat_gene_freq_1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nsy_stat_stem_freq_10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nsy_stat_loop_freq_10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nsy_stat_stem_AT_GC_freq_1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nsy_stat_loop_AT_GC_freq_1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nsy_stat_stem_GC_AT_freq_10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nsy_stat_loop_GC_AT_freq_10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nsy_stat_freq_10_chi_square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4D_stat_SNPs_freq_1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cds_stat_gene_freq_10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4D_stat_gene_freq_10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4D_stat_stem_freq_10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4D_stat_loop_freq_10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4D_stat_stem_AT_GC_freq_10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4D_stat_loop_AT_GC_freq_10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4D_stat_stem_GC_AT_freq_10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4D_stat_loop_GC_AT_freq_10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4D_stat_freq_10_chi_square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tRNA_stat_SNPs_freq_10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tRNA_stat_gene_freq_1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cds_stat_stem_freq_10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tRNA_stat_stem_freq_10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tRNA_stat_loop_freq_10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tRNA_stat_stem_AT_GC_freq_10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tRNA_stat_loop_AT_GC_freq_10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tRNA_stat_stem_GC_AT_freq_10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tRNA_stat_loop_GC_AT_freq_10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tRNA_stat_freq_10_chi_square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cds_stat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each/PARS_cds_stat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utr_stat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cds_stat_loop_freq_10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each/PARS_utr_stat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syn_stat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each/PARS_syn_stat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nsy_stat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each/PARS_nsy_stat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_stat_stem_AT_GC_freq_10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2_stat_stem_AT_GC_freq_10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3_stat_stem_AT_GC_freq_10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4_stat_stem_AT_GC_freq_10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5_stat_stem_AT_GC_freq_1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cds_stat_stem_AT_GC_freq_10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6_stat_stem_AT_GC_freq_10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7_stat_stem_AT_GC_freq_10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8_stat_stem_AT_GC_freq_10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9_stat_stem_AT_GC_freq_10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0_stat_stem_AT_GC_freq_10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1_stat_stem_AT_GC_freq_10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2_stat_stem_AT_GC_freq_10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3_stat_stem_AT_GC_freq_10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4_stat_stem_AT_GC_freq_10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5_stat_stem_AT_GC_freq_1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cds_stat_loop_AT_GC_freq_10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_stat_stem_GC_AT_freq_10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2_stat_stem_GC_AT_freq_10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3_stat_stem_GC_AT_freq_10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4_stat_stem_GC_AT_freq_10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5_stat_stem_GC_AT_freq_10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6_stat_stem_GC_AT_freq_10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7_stat_stem_GC_AT_freq_10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8_stat_stem_GC_AT_freq_10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9_stat_stem_GC_AT_freq_10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0_stat_stem_GC_AT_freq_1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PARS_cds_stat_stem_GC_AT_freq_10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1_stat_stem_GC_AT_freq_10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2_stat_stem_GC_AT_freq_10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3_stat_stem_GC_AT_freq_10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4_stat_stem_GC_AT_freq_10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5_stat_stem_GC_AT_freq_10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1_stat_loop_AT_GC_freq_10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2_stat_loop_AT_GC_freq_10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3_stat_loop_AT_GC_freq_10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4_stat_loop_AT_GC_freq_10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par/freq_10/stem_length/PARS_cds_5_stat_loop_AT_GC_freq_1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SNPs"/>
    </sheetNames>
    <sheetDataSet>
      <sheetData sheetId="0">
        <row r="2">
          <cell r="B2">
            <v>175391</v>
          </cell>
        </row>
        <row r="3">
          <cell r="B3">
            <v>44609</v>
          </cell>
        </row>
        <row r="4">
          <cell r="B4">
            <v>62041</v>
          </cell>
        </row>
        <row r="5">
          <cell r="B5">
            <v>53518</v>
          </cell>
        </row>
        <row r="6">
          <cell r="B6">
            <v>49418</v>
          </cell>
        </row>
        <row r="7">
          <cell r="B7">
            <v>42260</v>
          </cell>
        </row>
        <row r="8">
          <cell r="B8">
            <v>7134</v>
          </cell>
        </row>
        <row r="9">
          <cell r="B9">
            <v>21982</v>
          </cell>
        </row>
        <row r="10">
          <cell r="B10">
            <v>17680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GC_AT_freq_1"/>
    </sheetNames>
    <sheetDataSet>
      <sheetData sheetId="0">
        <row r="2">
          <cell r="B2">
            <v>3518</v>
          </cell>
        </row>
        <row r="3">
          <cell r="B3">
            <v>540</v>
          </cell>
        </row>
        <row r="4">
          <cell r="B4">
            <v>307</v>
          </cell>
        </row>
        <row r="5">
          <cell r="B5">
            <v>243</v>
          </cell>
        </row>
        <row r="6">
          <cell r="B6">
            <v>228</v>
          </cell>
        </row>
        <row r="7">
          <cell r="B7">
            <v>237</v>
          </cell>
        </row>
        <row r="8">
          <cell r="B8">
            <v>179</v>
          </cell>
        </row>
        <row r="9">
          <cell r="B9">
            <v>226</v>
          </cell>
        </row>
        <row r="10">
          <cell r="B10">
            <v>242</v>
          </cell>
        </row>
        <row r="11">
          <cell r="B11">
            <v>541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6_stat_loop_AT_GC_freq"/>
    </sheetNames>
    <sheetDataSet>
      <sheetData sheetId="0">
        <row r="2">
          <cell r="B2">
            <v>410</v>
          </cell>
        </row>
        <row r="3">
          <cell r="B3">
            <v>64</v>
          </cell>
        </row>
        <row r="4">
          <cell r="B4">
            <v>49</v>
          </cell>
        </row>
        <row r="5">
          <cell r="B5">
            <v>28</v>
          </cell>
        </row>
        <row r="6">
          <cell r="B6">
            <v>38</v>
          </cell>
        </row>
        <row r="7">
          <cell r="B7">
            <v>19</v>
          </cell>
        </row>
        <row r="8">
          <cell r="B8">
            <v>13</v>
          </cell>
        </row>
        <row r="9">
          <cell r="B9">
            <v>22</v>
          </cell>
        </row>
        <row r="10">
          <cell r="B10">
            <v>32</v>
          </cell>
        </row>
        <row r="11">
          <cell r="B11">
            <v>62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7_stat_loop_AT_GC_freq"/>
    </sheetNames>
    <sheetDataSet>
      <sheetData sheetId="0">
        <row r="2">
          <cell r="B2">
            <v>332</v>
          </cell>
        </row>
        <row r="3">
          <cell r="B3">
            <v>61</v>
          </cell>
        </row>
        <row r="4">
          <cell r="B4">
            <v>38</v>
          </cell>
        </row>
        <row r="5">
          <cell r="B5">
            <v>28</v>
          </cell>
        </row>
        <row r="6">
          <cell r="B6">
            <v>20</v>
          </cell>
        </row>
        <row r="7">
          <cell r="B7">
            <v>26</v>
          </cell>
        </row>
        <row r="8">
          <cell r="B8">
            <v>6</v>
          </cell>
        </row>
        <row r="9">
          <cell r="B9">
            <v>13</v>
          </cell>
        </row>
        <row r="10">
          <cell r="B10">
            <v>17</v>
          </cell>
        </row>
        <row r="11">
          <cell r="B11">
            <v>60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8_stat_loop_AT_GC_freq"/>
    </sheetNames>
    <sheetDataSet>
      <sheetData sheetId="0">
        <row r="2">
          <cell r="B2">
            <v>308</v>
          </cell>
        </row>
        <row r="3">
          <cell r="B3">
            <v>58</v>
          </cell>
        </row>
        <row r="4">
          <cell r="B4">
            <v>36</v>
          </cell>
        </row>
        <row r="5">
          <cell r="B5">
            <v>19</v>
          </cell>
        </row>
        <row r="6">
          <cell r="B6">
            <v>19</v>
          </cell>
        </row>
        <row r="7">
          <cell r="B7">
            <v>17</v>
          </cell>
        </row>
        <row r="8">
          <cell r="B8">
            <v>15</v>
          </cell>
        </row>
        <row r="9">
          <cell r="B9">
            <v>15</v>
          </cell>
        </row>
        <row r="10">
          <cell r="B10">
            <v>18</v>
          </cell>
        </row>
        <row r="11">
          <cell r="B11">
            <v>43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9_stat_loop_AT_GC_freq"/>
    </sheetNames>
    <sheetDataSet>
      <sheetData sheetId="0">
        <row r="2">
          <cell r="B2">
            <v>211</v>
          </cell>
        </row>
        <row r="3">
          <cell r="B3">
            <v>36</v>
          </cell>
        </row>
        <row r="4">
          <cell r="B4">
            <v>29</v>
          </cell>
        </row>
        <row r="5">
          <cell r="B5">
            <v>14</v>
          </cell>
        </row>
        <row r="6">
          <cell r="B6">
            <v>16</v>
          </cell>
        </row>
        <row r="7">
          <cell r="B7">
            <v>16</v>
          </cell>
        </row>
        <row r="8">
          <cell r="B8">
            <v>9</v>
          </cell>
        </row>
        <row r="9">
          <cell r="B9">
            <v>6</v>
          </cell>
        </row>
        <row r="10">
          <cell r="B10">
            <v>16</v>
          </cell>
        </row>
        <row r="11">
          <cell r="B11">
            <v>38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0_stat_loop_AT_GC_fre"/>
    </sheetNames>
    <sheetDataSet>
      <sheetData sheetId="0">
        <row r="2">
          <cell r="B2">
            <v>195</v>
          </cell>
        </row>
        <row r="3">
          <cell r="B3">
            <v>27</v>
          </cell>
        </row>
        <row r="4">
          <cell r="B4">
            <v>18</v>
          </cell>
        </row>
        <row r="5">
          <cell r="B5">
            <v>10</v>
          </cell>
        </row>
        <row r="6">
          <cell r="B6">
            <v>12</v>
          </cell>
        </row>
        <row r="7">
          <cell r="B7">
            <v>14</v>
          </cell>
        </row>
        <row r="8">
          <cell r="B8">
            <v>9</v>
          </cell>
        </row>
        <row r="9">
          <cell r="B9">
            <v>4</v>
          </cell>
        </row>
        <row r="10">
          <cell r="B10">
            <v>10</v>
          </cell>
        </row>
        <row r="11">
          <cell r="B11">
            <v>32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1_stat_loop_AT_GC_fre"/>
    </sheetNames>
    <sheetDataSet>
      <sheetData sheetId="0">
        <row r="2">
          <cell r="B2">
            <v>145</v>
          </cell>
        </row>
        <row r="3">
          <cell r="B3">
            <v>27</v>
          </cell>
        </row>
        <row r="4">
          <cell r="B4">
            <v>14</v>
          </cell>
        </row>
        <row r="5">
          <cell r="B5">
            <v>14</v>
          </cell>
        </row>
        <row r="6">
          <cell r="B6">
            <v>17</v>
          </cell>
        </row>
        <row r="7">
          <cell r="B7">
            <v>12</v>
          </cell>
        </row>
        <row r="8">
          <cell r="B8">
            <v>6</v>
          </cell>
        </row>
        <row r="9">
          <cell r="B9">
            <v>9</v>
          </cell>
        </row>
        <row r="10">
          <cell r="B10">
            <v>5</v>
          </cell>
        </row>
        <row r="11">
          <cell r="B11">
            <v>26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2_stat_loop_AT_GC_fre"/>
    </sheetNames>
    <sheetDataSet>
      <sheetData sheetId="0">
        <row r="2">
          <cell r="B2">
            <v>116</v>
          </cell>
        </row>
        <row r="3">
          <cell r="B3">
            <v>18</v>
          </cell>
        </row>
        <row r="4">
          <cell r="B4">
            <v>6</v>
          </cell>
        </row>
        <row r="5">
          <cell r="B5">
            <v>7</v>
          </cell>
        </row>
        <row r="6">
          <cell r="B6">
            <v>6</v>
          </cell>
        </row>
        <row r="7">
          <cell r="B7">
            <v>8</v>
          </cell>
        </row>
        <row r="8">
          <cell r="B8">
            <v>9</v>
          </cell>
        </row>
        <row r="9">
          <cell r="B9">
            <v>7</v>
          </cell>
        </row>
        <row r="10">
          <cell r="B10">
            <v>16</v>
          </cell>
        </row>
        <row r="11">
          <cell r="B11">
            <v>25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3_stat_loop_AT_GC_fre"/>
    </sheetNames>
    <sheetDataSet>
      <sheetData sheetId="0">
        <row r="2">
          <cell r="B2">
            <v>110</v>
          </cell>
        </row>
        <row r="3">
          <cell r="B3">
            <v>12</v>
          </cell>
        </row>
        <row r="4">
          <cell r="B4">
            <v>4</v>
          </cell>
        </row>
        <row r="5">
          <cell r="B5">
            <v>6</v>
          </cell>
        </row>
        <row r="6">
          <cell r="B6">
            <v>9</v>
          </cell>
        </row>
        <row r="7">
          <cell r="B7">
            <v>8</v>
          </cell>
        </row>
        <row r="8">
          <cell r="B8">
            <v>3</v>
          </cell>
        </row>
        <row r="9">
          <cell r="B9">
            <v>5</v>
          </cell>
        </row>
        <row r="10">
          <cell r="B10">
            <v>10</v>
          </cell>
        </row>
        <row r="11">
          <cell r="B11">
            <v>12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4_stat_loop_AT_GC_fre"/>
    </sheetNames>
    <sheetDataSet>
      <sheetData sheetId="0">
        <row r="2">
          <cell r="B2">
            <v>96</v>
          </cell>
        </row>
        <row r="3">
          <cell r="B3">
            <v>14</v>
          </cell>
        </row>
        <row r="4">
          <cell r="B4">
            <v>8</v>
          </cell>
        </row>
        <row r="5">
          <cell r="B5">
            <v>3</v>
          </cell>
        </row>
        <row r="6">
          <cell r="B6">
            <v>5</v>
          </cell>
        </row>
        <row r="7">
          <cell r="B7">
            <v>5</v>
          </cell>
        </row>
        <row r="8">
          <cell r="B8">
            <v>4</v>
          </cell>
        </row>
        <row r="9">
          <cell r="B9">
            <v>5</v>
          </cell>
        </row>
        <row r="10">
          <cell r="B10">
            <v>1</v>
          </cell>
        </row>
        <row r="11">
          <cell r="B11">
            <v>17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5_stat_loop_AT_GC_fre"/>
    </sheetNames>
    <sheetDataSet>
      <sheetData sheetId="0">
        <row r="2">
          <cell r="B2">
            <v>80</v>
          </cell>
        </row>
        <row r="3">
          <cell r="B3">
            <v>8</v>
          </cell>
        </row>
        <row r="4">
          <cell r="B4">
            <v>7</v>
          </cell>
        </row>
        <row r="5">
          <cell r="B5">
            <v>8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3</v>
          </cell>
        </row>
        <row r="11">
          <cell r="B11">
            <v>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freq_10_chi_squar"/>
    </sheetNames>
    <sheetDataSet>
      <sheetData sheetId="0">
        <row r="2">
          <cell r="B2">
            <v>4612</v>
          </cell>
          <cell r="C2">
            <v>6808</v>
          </cell>
          <cell r="D2">
            <v>0.40385288966725003</v>
          </cell>
        </row>
        <row r="3">
          <cell r="B3">
            <v>4041</v>
          </cell>
          <cell r="C3">
            <v>3518</v>
          </cell>
          <cell r="D3">
            <v>0.53459452308506406</v>
          </cell>
          <cell r="E3">
            <v>313.42437149232302</v>
          </cell>
          <cell r="F3">
            <v>3.9197999999999998E-70</v>
          </cell>
        </row>
        <row r="4">
          <cell r="B4">
            <v>818</v>
          </cell>
          <cell r="C4">
            <v>989</v>
          </cell>
          <cell r="D4">
            <v>0.45268400664084102</v>
          </cell>
        </row>
        <row r="5">
          <cell r="B5">
            <v>700</v>
          </cell>
          <cell r="C5">
            <v>540</v>
          </cell>
          <cell r="D5">
            <v>0.56451612903225801</v>
          </cell>
          <cell r="E5">
            <v>36.7879992814714</v>
          </cell>
          <cell r="F5">
            <v>1.3169999999999999E-9</v>
          </cell>
        </row>
        <row r="6">
          <cell r="B6">
            <v>537</v>
          </cell>
          <cell r="C6">
            <v>557</v>
          </cell>
          <cell r="D6">
            <v>0.49085923217550298</v>
          </cell>
        </row>
        <row r="7">
          <cell r="B7">
            <v>447</v>
          </cell>
          <cell r="C7">
            <v>307</v>
          </cell>
          <cell r="D7">
            <v>0.59283819628647205</v>
          </cell>
          <cell r="E7">
            <v>18.646743041388198</v>
          </cell>
          <cell r="F7">
            <v>1.5732000000000001E-5</v>
          </cell>
        </row>
        <row r="8">
          <cell r="B8">
            <v>397</v>
          </cell>
          <cell r="C8">
            <v>379</v>
          </cell>
          <cell r="D8">
            <v>0.51159793814432997</v>
          </cell>
        </row>
        <row r="9">
          <cell r="B9">
            <v>301</v>
          </cell>
          <cell r="C9">
            <v>243</v>
          </cell>
          <cell r="D9">
            <v>0.55330882352941202</v>
          </cell>
          <cell r="E9">
            <v>2.23299403029299</v>
          </cell>
          <cell r="F9">
            <v>0.13508999999999999</v>
          </cell>
        </row>
        <row r="10">
          <cell r="B10">
            <v>407</v>
          </cell>
          <cell r="C10">
            <v>334</v>
          </cell>
          <cell r="D10">
            <v>0.54925775978407598</v>
          </cell>
        </row>
        <row r="11">
          <cell r="B11">
            <v>273</v>
          </cell>
          <cell r="C11">
            <v>228</v>
          </cell>
          <cell r="D11">
            <v>0.54491017964071897</v>
          </cell>
          <cell r="E11">
            <v>2.2804864413889198E-2</v>
          </cell>
          <cell r="F11">
            <v>0.87997000000000003</v>
          </cell>
        </row>
        <row r="12">
          <cell r="B12">
            <v>401</v>
          </cell>
          <cell r="C12">
            <v>278</v>
          </cell>
          <cell r="D12">
            <v>0.59057437407952895</v>
          </cell>
        </row>
        <row r="13">
          <cell r="B13">
            <v>248</v>
          </cell>
          <cell r="C13">
            <v>237</v>
          </cell>
          <cell r="D13">
            <v>0.51134020618556697</v>
          </cell>
          <cell r="E13">
            <v>7.2000841153251898</v>
          </cell>
          <cell r="F13">
            <v>7.2899999999999996E-3</v>
          </cell>
        </row>
        <row r="14">
          <cell r="B14">
            <v>310</v>
          </cell>
          <cell r="C14">
            <v>248</v>
          </cell>
          <cell r="D14">
            <v>0.55555555555555602</v>
          </cell>
        </row>
        <row r="15">
          <cell r="B15">
            <v>168</v>
          </cell>
          <cell r="C15">
            <v>179</v>
          </cell>
          <cell r="D15">
            <v>0.48414985590778098</v>
          </cell>
          <cell r="E15">
            <v>4.3774605303801302</v>
          </cell>
          <cell r="F15">
            <v>3.6416999999999998E-2</v>
          </cell>
        </row>
        <row r="16">
          <cell r="B16">
            <v>340</v>
          </cell>
          <cell r="C16">
            <v>286</v>
          </cell>
          <cell r="D16">
            <v>0.54313099041533497</v>
          </cell>
        </row>
        <row r="17">
          <cell r="B17">
            <v>197</v>
          </cell>
          <cell r="C17">
            <v>226</v>
          </cell>
          <cell r="D17">
            <v>0.46572104018912502</v>
          </cell>
          <cell r="E17">
            <v>6.0539596010968104</v>
          </cell>
          <cell r="F17">
            <v>1.3875E-2</v>
          </cell>
        </row>
        <row r="18">
          <cell r="B18">
            <v>467</v>
          </cell>
          <cell r="C18">
            <v>325</v>
          </cell>
          <cell r="D18">
            <v>0.58964646464646497</v>
          </cell>
        </row>
        <row r="19">
          <cell r="B19">
            <v>283</v>
          </cell>
          <cell r="C19">
            <v>242</v>
          </cell>
          <cell r="D19">
            <v>0.539047619047619</v>
          </cell>
          <cell r="E19">
            <v>3.2969104790917401</v>
          </cell>
          <cell r="F19">
            <v>6.9409999999999999E-2</v>
          </cell>
        </row>
        <row r="20">
          <cell r="B20">
            <v>1367</v>
          </cell>
          <cell r="C20">
            <v>685</v>
          </cell>
          <cell r="D20">
            <v>0.66617933723196898</v>
          </cell>
        </row>
        <row r="21">
          <cell r="B21">
            <v>774</v>
          </cell>
          <cell r="C21">
            <v>541</v>
          </cell>
          <cell r="D21">
            <v>0.588593155893536</v>
          </cell>
          <cell r="E21">
            <v>20.835687852448601</v>
          </cell>
          <cell r="F21">
            <v>5.0042000000000003E-6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_stat_loop_GC_AT_freq"/>
    </sheetNames>
    <sheetDataSet>
      <sheetData sheetId="0">
        <row r="2">
          <cell r="B2">
            <v>459</v>
          </cell>
        </row>
        <row r="3">
          <cell r="B3">
            <v>61</v>
          </cell>
        </row>
        <row r="4">
          <cell r="B4">
            <v>32</v>
          </cell>
        </row>
        <row r="5">
          <cell r="B5">
            <v>35</v>
          </cell>
        </row>
        <row r="6">
          <cell r="B6">
            <v>16</v>
          </cell>
        </row>
        <row r="7">
          <cell r="B7">
            <v>20</v>
          </cell>
        </row>
        <row r="8">
          <cell r="B8">
            <v>19</v>
          </cell>
        </row>
        <row r="9">
          <cell r="B9">
            <v>17</v>
          </cell>
        </row>
        <row r="10">
          <cell r="B10">
            <v>40</v>
          </cell>
        </row>
        <row r="11">
          <cell r="B11">
            <v>69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2_stat_loop_GC_AT_freq"/>
    </sheetNames>
    <sheetDataSet>
      <sheetData sheetId="0">
        <row r="2">
          <cell r="B2">
            <v>473</v>
          </cell>
        </row>
        <row r="3">
          <cell r="B3">
            <v>71</v>
          </cell>
        </row>
        <row r="4">
          <cell r="B4">
            <v>58</v>
          </cell>
        </row>
        <row r="5">
          <cell r="B5">
            <v>31</v>
          </cell>
        </row>
        <row r="6">
          <cell r="B6">
            <v>25</v>
          </cell>
        </row>
        <row r="7">
          <cell r="B7">
            <v>30</v>
          </cell>
        </row>
        <row r="8">
          <cell r="B8">
            <v>18</v>
          </cell>
        </row>
        <row r="9">
          <cell r="B9">
            <v>22</v>
          </cell>
        </row>
        <row r="10">
          <cell r="B10">
            <v>21</v>
          </cell>
        </row>
        <row r="11">
          <cell r="B11">
            <v>65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3_stat_loop_GC_AT_freq"/>
    </sheetNames>
    <sheetDataSet>
      <sheetData sheetId="0">
        <row r="2">
          <cell r="B2">
            <v>348</v>
          </cell>
        </row>
        <row r="3">
          <cell r="B3">
            <v>57</v>
          </cell>
        </row>
        <row r="4">
          <cell r="B4">
            <v>34</v>
          </cell>
        </row>
        <row r="5">
          <cell r="B5">
            <v>30</v>
          </cell>
        </row>
        <row r="6">
          <cell r="B6">
            <v>19</v>
          </cell>
        </row>
        <row r="7">
          <cell r="B7">
            <v>16</v>
          </cell>
        </row>
        <row r="8">
          <cell r="B8">
            <v>24</v>
          </cell>
        </row>
        <row r="9">
          <cell r="B9">
            <v>29</v>
          </cell>
        </row>
        <row r="10">
          <cell r="B10">
            <v>24</v>
          </cell>
        </row>
        <row r="11">
          <cell r="B11">
            <v>59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4_stat_loop_GC_AT_freq"/>
    </sheetNames>
    <sheetDataSet>
      <sheetData sheetId="0">
        <row r="2">
          <cell r="B2">
            <v>494</v>
          </cell>
        </row>
        <row r="3">
          <cell r="B3">
            <v>67</v>
          </cell>
        </row>
        <row r="4">
          <cell r="B4">
            <v>44</v>
          </cell>
        </row>
        <row r="5">
          <cell r="B5">
            <v>26</v>
          </cell>
        </row>
        <row r="6">
          <cell r="B6">
            <v>36</v>
          </cell>
        </row>
        <row r="7">
          <cell r="B7">
            <v>39</v>
          </cell>
        </row>
        <row r="8">
          <cell r="B8">
            <v>31</v>
          </cell>
        </row>
        <row r="9">
          <cell r="B9">
            <v>27</v>
          </cell>
        </row>
        <row r="10">
          <cell r="B10">
            <v>30</v>
          </cell>
        </row>
        <row r="11">
          <cell r="B11">
            <v>58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5_stat_loop_GC_AT_freq"/>
    </sheetNames>
    <sheetDataSet>
      <sheetData sheetId="0">
        <row r="2">
          <cell r="B2">
            <v>373</v>
          </cell>
        </row>
        <row r="3">
          <cell r="B3">
            <v>52</v>
          </cell>
        </row>
        <row r="4">
          <cell r="B4">
            <v>32</v>
          </cell>
        </row>
        <row r="5">
          <cell r="B5">
            <v>23</v>
          </cell>
        </row>
        <row r="6">
          <cell r="B6">
            <v>30</v>
          </cell>
        </row>
        <row r="7">
          <cell r="B7">
            <v>32</v>
          </cell>
        </row>
        <row r="8">
          <cell r="B8">
            <v>20</v>
          </cell>
        </row>
        <row r="9">
          <cell r="B9">
            <v>24</v>
          </cell>
        </row>
        <row r="10">
          <cell r="B10">
            <v>22</v>
          </cell>
        </row>
        <row r="11">
          <cell r="B11">
            <v>63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6_stat_loop_GC_AT_freq"/>
    </sheetNames>
    <sheetDataSet>
      <sheetData sheetId="0">
        <row r="2">
          <cell r="B2">
            <v>339</v>
          </cell>
        </row>
        <row r="3">
          <cell r="B3">
            <v>64</v>
          </cell>
        </row>
        <row r="4">
          <cell r="B4">
            <v>31</v>
          </cell>
        </row>
        <row r="5">
          <cell r="B5">
            <v>23</v>
          </cell>
        </row>
        <row r="6">
          <cell r="B6">
            <v>30</v>
          </cell>
        </row>
        <row r="7">
          <cell r="B7">
            <v>21</v>
          </cell>
        </row>
        <row r="8">
          <cell r="B8">
            <v>10</v>
          </cell>
        </row>
        <row r="9">
          <cell r="B9">
            <v>27</v>
          </cell>
        </row>
        <row r="10">
          <cell r="B10">
            <v>29</v>
          </cell>
        </row>
        <row r="11">
          <cell r="B11">
            <v>59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7_stat_loop_GC_AT_freq"/>
    </sheetNames>
    <sheetDataSet>
      <sheetData sheetId="0">
        <row r="2">
          <cell r="B2">
            <v>238</v>
          </cell>
        </row>
        <row r="3">
          <cell r="B3">
            <v>30</v>
          </cell>
        </row>
        <row r="4">
          <cell r="B4">
            <v>16</v>
          </cell>
        </row>
        <row r="5">
          <cell r="B5">
            <v>15</v>
          </cell>
        </row>
        <row r="6">
          <cell r="B6">
            <v>23</v>
          </cell>
        </row>
        <row r="7">
          <cell r="B7">
            <v>22</v>
          </cell>
        </row>
        <row r="8">
          <cell r="B8">
            <v>17</v>
          </cell>
        </row>
        <row r="9">
          <cell r="B9">
            <v>19</v>
          </cell>
        </row>
        <row r="10">
          <cell r="B10">
            <v>11</v>
          </cell>
        </row>
        <row r="11">
          <cell r="B11">
            <v>29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8_stat_loop_GC_AT_freq"/>
    </sheetNames>
    <sheetDataSet>
      <sheetData sheetId="0">
        <row r="2">
          <cell r="B2">
            <v>239</v>
          </cell>
        </row>
        <row r="3">
          <cell r="B3">
            <v>39</v>
          </cell>
        </row>
        <row r="4">
          <cell r="B4">
            <v>15</v>
          </cell>
        </row>
        <row r="5">
          <cell r="B5">
            <v>16</v>
          </cell>
        </row>
        <row r="6">
          <cell r="B6">
            <v>11</v>
          </cell>
        </row>
        <row r="7">
          <cell r="B7">
            <v>13</v>
          </cell>
        </row>
        <row r="8">
          <cell r="B8">
            <v>14</v>
          </cell>
        </row>
        <row r="9">
          <cell r="B9">
            <v>16</v>
          </cell>
        </row>
        <row r="10">
          <cell r="B10">
            <v>16</v>
          </cell>
        </row>
        <row r="11">
          <cell r="B11">
            <v>44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9_stat_loop_GC_AT_freq"/>
    </sheetNames>
    <sheetDataSet>
      <sheetData sheetId="0">
        <row r="2">
          <cell r="B2">
            <v>155</v>
          </cell>
        </row>
        <row r="3">
          <cell r="B3">
            <v>32</v>
          </cell>
        </row>
        <row r="4">
          <cell r="B4">
            <v>13</v>
          </cell>
        </row>
        <row r="5">
          <cell r="B5">
            <v>14</v>
          </cell>
        </row>
        <row r="6">
          <cell r="B6">
            <v>11</v>
          </cell>
        </row>
        <row r="7">
          <cell r="B7">
            <v>13</v>
          </cell>
        </row>
        <row r="8">
          <cell r="B8">
            <v>11</v>
          </cell>
        </row>
        <row r="9">
          <cell r="B9">
            <v>14</v>
          </cell>
        </row>
        <row r="10">
          <cell r="B10">
            <v>16</v>
          </cell>
        </row>
        <row r="11">
          <cell r="B11">
            <v>16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0_stat_loop_GC_AT_fre"/>
    </sheetNames>
    <sheetDataSet>
      <sheetData sheetId="0">
        <row r="2">
          <cell r="B2">
            <v>118</v>
          </cell>
        </row>
        <row r="3">
          <cell r="B3">
            <v>18</v>
          </cell>
        </row>
        <row r="4">
          <cell r="B4">
            <v>12</v>
          </cell>
        </row>
        <row r="5">
          <cell r="B5">
            <v>9</v>
          </cell>
        </row>
        <row r="6">
          <cell r="B6">
            <v>3</v>
          </cell>
        </row>
        <row r="7">
          <cell r="B7">
            <v>13</v>
          </cell>
        </row>
        <row r="8">
          <cell r="B8">
            <v>7</v>
          </cell>
        </row>
        <row r="9">
          <cell r="B9">
            <v>7</v>
          </cell>
        </row>
        <row r="10">
          <cell r="B10">
            <v>11</v>
          </cell>
        </row>
        <row r="11">
          <cell r="B11">
            <v>27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NPs_freq_10"/>
    </sheetNames>
    <sheetDataSet>
      <sheetData sheetId="0">
        <row r="2">
          <cell r="B2">
            <v>3370</v>
          </cell>
        </row>
        <row r="3">
          <cell r="B3">
            <v>532</v>
          </cell>
        </row>
        <row r="4">
          <cell r="B4">
            <v>320</v>
          </cell>
        </row>
        <row r="5">
          <cell r="B5">
            <v>221</v>
          </cell>
        </row>
        <row r="6">
          <cell r="B6">
            <v>200</v>
          </cell>
        </row>
        <row r="7">
          <cell r="B7">
            <v>161</v>
          </cell>
        </row>
        <row r="8">
          <cell r="B8">
            <v>145</v>
          </cell>
        </row>
        <row r="9">
          <cell r="B9">
            <v>166</v>
          </cell>
        </row>
        <row r="10">
          <cell r="B10">
            <v>178</v>
          </cell>
        </row>
        <row r="11">
          <cell r="B11">
            <v>526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1_stat_loop_GC_AT_fre"/>
    </sheetNames>
    <sheetDataSet>
      <sheetData sheetId="0">
        <row r="2">
          <cell r="B2">
            <v>118</v>
          </cell>
        </row>
        <row r="3">
          <cell r="B3">
            <v>21</v>
          </cell>
        </row>
        <row r="4">
          <cell r="B4">
            <v>6</v>
          </cell>
        </row>
        <row r="5">
          <cell r="B5">
            <v>5</v>
          </cell>
        </row>
        <row r="6">
          <cell r="B6">
            <v>9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8</v>
          </cell>
        </row>
        <row r="10">
          <cell r="B10">
            <v>6</v>
          </cell>
        </row>
        <row r="11">
          <cell r="B11">
            <v>24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2_stat_loop_GC_AT_fre"/>
    </sheetNames>
    <sheetDataSet>
      <sheetData sheetId="0">
        <row r="2">
          <cell r="B2">
            <v>86</v>
          </cell>
        </row>
        <row r="3">
          <cell r="B3">
            <v>15</v>
          </cell>
        </row>
        <row r="4">
          <cell r="B4">
            <v>8</v>
          </cell>
        </row>
        <row r="5">
          <cell r="B5">
            <v>9</v>
          </cell>
        </row>
        <row r="6">
          <cell r="B6">
            <v>7</v>
          </cell>
        </row>
        <row r="7">
          <cell r="B7">
            <v>8</v>
          </cell>
        </row>
        <row r="8">
          <cell r="B8">
            <v>5</v>
          </cell>
        </row>
        <row r="9">
          <cell r="B9">
            <v>3</v>
          </cell>
        </row>
        <row r="10">
          <cell r="B10">
            <v>5</v>
          </cell>
        </row>
        <row r="11">
          <cell r="B11">
            <v>11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3_stat_loop_GC_AT_fre"/>
    </sheetNames>
    <sheetDataSet>
      <sheetData sheetId="0">
        <row r="2">
          <cell r="B2">
            <v>79</v>
          </cell>
        </row>
        <row r="3">
          <cell r="B3">
            <v>15</v>
          </cell>
        </row>
        <row r="4">
          <cell r="B4">
            <v>10</v>
          </cell>
        </row>
        <row r="5">
          <cell r="B5">
            <v>8</v>
          </cell>
        </row>
        <row r="6">
          <cell r="B6">
            <v>10</v>
          </cell>
        </row>
        <row r="7">
          <cell r="B7">
            <v>2</v>
          </cell>
        </row>
        <row r="8">
          <cell r="B8">
            <v>6</v>
          </cell>
        </row>
        <row r="9">
          <cell r="B9">
            <v>6</v>
          </cell>
        </row>
        <row r="10">
          <cell r="B10">
            <v>4</v>
          </cell>
        </row>
        <row r="11">
          <cell r="B11">
            <v>17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4_stat_loop_GC_AT_fre"/>
    </sheetNames>
    <sheetDataSet>
      <sheetData sheetId="0">
        <row r="2">
          <cell r="B2">
            <v>73</v>
          </cell>
        </row>
        <row r="3">
          <cell r="B3">
            <v>4</v>
          </cell>
        </row>
        <row r="4">
          <cell r="B4">
            <v>6</v>
          </cell>
        </row>
        <row r="5">
          <cell r="B5">
            <v>4</v>
          </cell>
        </row>
        <row r="6">
          <cell r="B6">
            <v>6</v>
          </cell>
        </row>
        <row r="7">
          <cell r="B7">
            <v>3</v>
          </cell>
        </row>
        <row r="8">
          <cell r="B8">
            <v>5</v>
          </cell>
        </row>
        <row r="9">
          <cell r="B9">
            <v>2</v>
          </cell>
        </row>
        <row r="10">
          <cell r="B10">
            <v>2</v>
          </cell>
        </row>
        <row r="11">
          <cell r="B11">
            <v>12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5_stat_loop_GC_AT_fre"/>
    </sheetNames>
    <sheetDataSet>
      <sheetData sheetId="0">
        <row r="2">
          <cell r="B2">
            <v>60</v>
          </cell>
        </row>
        <row r="3">
          <cell r="B3">
            <v>11</v>
          </cell>
        </row>
        <row r="4">
          <cell r="B4">
            <v>8</v>
          </cell>
        </row>
        <row r="5">
          <cell r="B5">
            <v>10</v>
          </cell>
        </row>
        <row r="6">
          <cell r="B6">
            <v>3</v>
          </cell>
        </row>
        <row r="7">
          <cell r="B7">
            <v>5</v>
          </cell>
        </row>
        <row r="8">
          <cell r="B8">
            <v>2</v>
          </cell>
        </row>
        <row r="9">
          <cell r="B9">
            <v>4</v>
          </cell>
        </row>
        <row r="10">
          <cell r="B10">
            <v>2</v>
          </cell>
        </row>
        <row r="11">
          <cell r="B11">
            <v>8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_stat_stem_AT_GC_freq_10"/>
    </sheetNames>
    <sheetDataSet>
      <sheetData sheetId="0">
        <row r="2">
          <cell r="B2">
            <v>990</v>
          </cell>
        </row>
        <row r="3">
          <cell r="B3">
            <v>157</v>
          </cell>
        </row>
        <row r="4">
          <cell r="B4">
            <v>105</v>
          </cell>
        </row>
        <row r="5">
          <cell r="B5">
            <v>70</v>
          </cell>
        </row>
        <row r="6">
          <cell r="B6">
            <v>84</v>
          </cell>
        </row>
        <row r="7">
          <cell r="B7">
            <v>66</v>
          </cell>
        </row>
        <row r="8">
          <cell r="B8">
            <v>69</v>
          </cell>
        </row>
        <row r="9">
          <cell r="B9">
            <v>73</v>
          </cell>
        </row>
        <row r="10">
          <cell r="B10">
            <v>86</v>
          </cell>
        </row>
        <row r="11">
          <cell r="B11">
            <v>234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2_stat_stem_AT_GC_freq_10"/>
    </sheetNames>
    <sheetDataSet>
      <sheetData sheetId="0">
        <row r="2">
          <cell r="B2">
            <v>593</v>
          </cell>
        </row>
        <row r="3">
          <cell r="B3">
            <v>99</v>
          </cell>
        </row>
        <row r="4">
          <cell r="B4">
            <v>50</v>
          </cell>
        </row>
        <row r="5">
          <cell r="B5">
            <v>46</v>
          </cell>
        </row>
        <row r="6">
          <cell r="B6">
            <v>45</v>
          </cell>
        </row>
        <row r="7">
          <cell r="B7">
            <v>38</v>
          </cell>
        </row>
        <row r="8">
          <cell r="B8">
            <v>37</v>
          </cell>
        </row>
        <row r="9">
          <cell r="B9">
            <v>38</v>
          </cell>
        </row>
        <row r="10">
          <cell r="B10">
            <v>49</v>
          </cell>
        </row>
        <row r="11">
          <cell r="B11">
            <v>151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3_stat_stem_AT_GC_freq_10"/>
    </sheetNames>
    <sheetDataSet>
      <sheetData sheetId="0">
        <row r="2">
          <cell r="B2">
            <v>1662</v>
          </cell>
        </row>
        <row r="3">
          <cell r="B3">
            <v>287</v>
          </cell>
        </row>
        <row r="4">
          <cell r="B4">
            <v>168</v>
          </cell>
        </row>
        <row r="5">
          <cell r="B5">
            <v>132</v>
          </cell>
        </row>
        <row r="6">
          <cell r="B6">
            <v>123</v>
          </cell>
        </row>
        <row r="7">
          <cell r="B7">
            <v>107</v>
          </cell>
        </row>
        <row r="8">
          <cell r="B8">
            <v>118</v>
          </cell>
        </row>
        <row r="9">
          <cell r="B9">
            <v>114</v>
          </cell>
        </row>
        <row r="10">
          <cell r="B10">
            <v>179</v>
          </cell>
        </row>
        <row r="11">
          <cell r="B11">
            <v>481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4_stat_stem_AT_GC_freq_10"/>
    </sheetNames>
    <sheetDataSet>
      <sheetData sheetId="0">
        <row r="2">
          <cell r="B2">
            <v>1951</v>
          </cell>
        </row>
        <row r="3">
          <cell r="B3">
            <v>349</v>
          </cell>
        </row>
        <row r="4">
          <cell r="B4">
            <v>204</v>
          </cell>
        </row>
        <row r="5">
          <cell r="B5">
            <v>165</v>
          </cell>
        </row>
        <row r="6">
          <cell r="B6">
            <v>152</v>
          </cell>
        </row>
        <row r="7">
          <cell r="B7">
            <v>142</v>
          </cell>
        </row>
        <row r="8">
          <cell r="B8">
            <v>134</v>
          </cell>
        </row>
        <row r="9">
          <cell r="B9">
            <v>149</v>
          </cell>
        </row>
        <row r="10">
          <cell r="B10">
            <v>206</v>
          </cell>
        </row>
        <row r="11">
          <cell r="B11">
            <v>557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5_stat_stem_AT_GC_freq_10"/>
    </sheetNames>
    <sheetDataSet>
      <sheetData sheetId="0">
        <row r="2">
          <cell r="B2">
            <v>1171</v>
          </cell>
        </row>
        <row r="3">
          <cell r="B3">
            <v>200</v>
          </cell>
        </row>
        <row r="4">
          <cell r="B4">
            <v>109</v>
          </cell>
        </row>
        <row r="5">
          <cell r="B5">
            <v>107</v>
          </cell>
        </row>
        <row r="6">
          <cell r="B6">
            <v>88</v>
          </cell>
        </row>
        <row r="7">
          <cell r="B7">
            <v>82</v>
          </cell>
        </row>
        <row r="8">
          <cell r="B8">
            <v>76</v>
          </cell>
        </row>
        <row r="9">
          <cell r="B9">
            <v>79</v>
          </cell>
        </row>
        <row r="10">
          <cell r="B10">
            <v>112</v>
          </cell>
        </row>
        <row r="11">
          <cell r="B11">
            <v>363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gene_freq_10"/>
    </sheetNames>
    <sheetDataSet>
      <sheetData sheetId="0">
        <row r="2">
          <cell r="B2">
            <v>1399</v>
          </cell>
        </row>
        <row r="3">
          <cell r="B3">
            <v>419</v>
          </cell>
        </row>
        <row r="4">
          <cell r="B4">
            <v>267</v>
          </cell>
        </row>
        <row r="5">
          <cell r="B5">
            <v>202</v>
          </cell>
        </row>
        <row r="6">
          <cell r="B6">
            <v>163</v>
          </cell>
        </row>
        <row r="7">
          <cell r="B7">
            <v>146</v>
          </cell>
        </row>
        <row r="8">
          <cell r="B8">
            <v>130</v>
          </cell>
        </row>
        <row r="9">
          <cell r="B9">
            <v>147</v>
          </cell>
        </row>
        <row r="10">
          <cell r="B10">
            <v>160</v>
          </cell>
        </row>
        <row r="11">
          <cell r="B11">
            <v>421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6_stat_stem_AT_GC_freq_10"/>
    </sheetNames>
    <sheetDataSet>
      <sheetData sheetId="0">
        <row r="2">
          <cell r="B2">
            <v>141</v>
          </cell>
        </row>
        <row r="3">
          <cell r="B3">
            <v>18</v>
          </cell>
        </row>
        <row r="4">
          <cell r="B4">
            <v>19</v>
          </cell>
        </row>
        <row r="5">
          <cell r="B5">
            <v>14</v>
          </cell>
        </row>
        <row r="6">
          <cell r="B6">
            <v>14</v>
          </cell>
        </row>
        <row r="7">
          <cell r="B7">
            <v>14</v>
          </cell>
        </row>
        <row r="8">
          <cell r="B8">
            <v>10</v>
          </cell>
        </row>
        <row r="9">
          <cell r="B9">
            <v>10</v>
          </cell>
        </row>
        <row r="10">
          <cell r="B10">
            <v>11</v>
          </cell>
        </row>
        <row r="11">
          <cell r="B11">
            <v>37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7_stat_stem_AT_GC_freq_10"/>
    </sheetNames>
    <sheetDataSet>
      <sheetData sheetId="0">
        <row r="2">
          <cell r="B2">
            <v>139</v>
          </cell>
        </row>
        <row r="3">
          <cell r="B3">
            <v>21</v>
          </cell>
        </row>
        <row r="4">
          <cell r="B4">
            <v>10</v>
          </cell>
        </row>
        <row r="5">
          <cell r="B5">
            <v>9</v>
          </cell>
        </row>
        <row r="6">
          <cell r="B6">
            <v>12</v>
          </cell>
        </row>
        <row r="7">
          <cell r="B7">
            <v>9</v>
          </cell>
        </row>
        <row r="8">
          <cell r="B8">
            <v>9</v>
          </cell>
        </row>
        <row r="9">
          <cell r="B9">
            <v>15</v>
          </cell>
        </row>
        <row r="10">
          <cell r="B10">
            <v>13</v>
          </cell>
        </row>
        <row r="11">
          <cell r="B11">
            <v>34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8_stat_stem_AT_GC_freq_10"/>
    </sheetNames>
    <sheetDataSet>
      <sheetData sheetId="0">
        <row r="2">
          <cell r="B2">
            <v>2227</v>
          </cell>
        </row>
        <row r="3">
          <cell r="B3">
            <v>362</v>
          </cell>
        </row>
        <row r="4">
          <cell r="B4">
            <v>243</v>
          </cell>
        </row>
        <row r="5">
          <cell r="B5">
            <v>174</v>
          </cell>
        </row>
        <row r="6">
          <cell r="B6">
            <v>184</v>
          </cell>
        </row>
        <row r="7">
          <cell r="B7">
            <v>186</v>
          </cell>
        </row>
        <row r="8">
          <cell r="B8">
            <v>136</v>
          </cell>
        </row>
        <row r="9">
          <cell r="B9">
            <v>155</v>
          </cell>
        </row>
        <row r="10">
          <cell r="B10">
            <v>219</v>
          </cell>
        </row>
        <row r="11">
          <cell r="B11">
            <v>653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9_stat_stem_AT_GC_freq_10"/>
    </sheetNames>
    <sheetDataSet>
      <sheetData sheetId="0">
        <row r="2">
          <cell r="B2">
            <v>181</v>
          </cell>
        </row>
        <row r="3">
          <cell r="B3">
            <v>42</v>
          </cell>
        </row>
        <row r="4">
          <cell r="B4">
            <v>8</v>
          </cell>
        </row>
        <row r="5">
          <cell r="B5">
            <v>21</v>
          </cell>
        </row>
        <row r="6">
          <cell r="B6">
            <v>14</v>
          </cell>
        </row>
        <row r="7">
          <cell r="B7">
            <v>14</v>
          </cell>
        </row>
        <row r="8">
          <cell r="B8">
            <v>12</v>
          </cell>
        </row>
        <row r="9">
          <cell r="B9">
            <v>8</v>
          </cell>
        </row>
        <row r="10">
          <cell r="B10">
            <v>24</v>
          </cell>
        </row>
        <row r="11">
          <cell r="B11">
            <v>71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0_stat_stem_AT_GC_freq_10"/>
    </sheetNames>
    <sheetDataSet>
      <sheetData sheetId="0">
        <row r="2">
          <cell r="B2">
            <v>78</v>
          </cell>
        </row>
        <row r="3">
          <cell r="B3">
            <v>17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6</v>
          </cell>
        </row>
        <row r="7">
          <cell r="B7">
            <v>3</v>
          </cell>
        </row>
        <row r="8">
          <cell r="B8">
            <v>5</v>
          </cell>
        </row>
        <row r="9">
          <cell r="B9">
            <v>1</v>
          </cell>
        </row>
        <row r="10">
          <cell r="B10">
            <v>6</v>
          </cell>
        </row>
        <row r="11">
          <cell r="B11">
            <v>25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1_stat_stem_AT_GC_freq_10"/>
    </sheetNames>
    <sheetDataSet>
      <sheetData sheetId="0">
        <row r="2">
          <cell r="B2">
            <v>175</v>
          </cell>
        </row>
        <row r="3">
          <cell r="B3">
            <v>37</v>
          </cell>
        </row>
        <row r="4">
          <cell r="B4">
            <v>23</v>
          </cell>
        </row>
        <row r="5">
          <cell r="B5">
            <v>12</v>
          </cell>
        </row>
        <row r="6">
          <cell r="B6">
            <v>8</v>
          </cell>
        </row>
        <row r="7">
          <cell r="B7">
            <v>14</v>
          </cell>
        </row>
        <row r="8">
          <cell r="B8">
            <v>11</v>
          </cell>
        </row>
        <row r="9">
          <cell r="B9">
            <v>17</v>
          </cell>
        </row>
        <row r="10">
          <cell r="B10">
            <v>16</v>
          </cell>
        </row>
        <row r="11">
          <cell r="B11">
            <v>50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2_stat_stem_AT_GC_freq_10"/>
    </sheetNames>
    <sheetDataSet>
      <sheetData sheetId="0">
        <row r="2">
          <cell r="B2">
            <v>316</v>
          </cell>
        </row>
        <row r="3">
          <cell r="B3">
            <v>66</v>
          </cell>
        </row>
        <row r="4">
          <cell r="B4">
            <v>38</v>
          </cell>
        </row>
        <row r="5">
          <cell r="B5">
            <v>37</v>
          </cell>
        </row>
        <row r="6">
          <cell r="B6">
            <v>17</v>
          </cell>
        </row>
        <row r="7">
          <cell r="B7">
            <v>23</v>
          </cell>
        </row>
        <row r="8">
          <cell r="B8">
            <v>22</v>
          </cell>
        </row>
        <row r="9">
          <cell r="B9">
            <v>14</v>
          </cell>
        </row>
        <row r="10">
          <cell r="B10">
            <v>33</v>
          </cell>
        </row>
        <row r="11">
          <cell r="B11">
            <v>76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3_stat_stem_AT_GC_freq_10"/>
    </sheetNames>
    <sheetDataSet>
      <sheetData sheetId="0">
        <row r="2">
          <cell r="B2">
            <v>63</v>
          </cell>
        </row>
        <row r="3">
          <cell r="B3">
            <v>12</v>
          </cell>
        </row>
        <row r="4">
          <cell r="B4">
            <v>6</v>
          </cell>
        </row>
        <row r="5">
          <cell r="B5">
            <v>7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4</v>
          </cell>
        </row>
        <row r="9">
          <cell r="B9">
            <v>2</v>
          </cell>
        </row>
        <row r="10">
          <cell r="B10">
            <v>4</v>
          </cell>
        </row>
        <row r="11">
          <cell r="B11">
            <v>10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4_stat_stem_AT_GC_freq_10"/>
    </sheetNames>
    <sheetDataSet>
      <sheetData sheetId="0">
        <row r="2">
          <cell r="B2">
            <v>302</v>
          </cell>
        </row>
        <row r="3">
          <cell r="B3">
            <v>58</v>
          </cell>
        </row>
        <row r="4">
          <cell r="B4">
            <v>27</v>
          </cell>
        </row>
        <row r="5">
          <cell r="B5">
            <v>24</v>
          </cell>
        </row>
        <row r="6">
          <cell r="B6">
            <v>22</v>
          </cell>
        </row>
        <row r="7">
          <cell r="B7">
            <v>20</v>
          </cell>
        </row>
        <row r="8">
          <cell r="B8">
            <v>19</v>
          </cell>
        </row>
        <row r="9">
          <cell r="B9">
            <v>18</v>
          </cell>
        </row>
        <row r="10">
          <cell r="B10">
            <v>28</v>
          </cell>
        </row>
        <row r="11">
          <cell r="B11">
            <v>76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5_stat_stem_AT_GC_freq_10"/>
    </sheetNames>
    <sheetDataSet>
      <sheetData sheetId="0">
        <row r="2">
          <cell r="B2">
            <v>228</v>
          </cell>
        </row>
        <row r="3">
          <cell r="B3">
            <v>27</v>
          </cell>
        </row>
        <row r="4">
          <cell r="B4">
            <v>28</v>
          </cell>
        </row>
        <row r="5">
          <cell r="B5">
            <v>10</v>
          </cell>
        </row>
        <row r="6">
          <cell r="B6">
            <v>27</v>
          </cell>
        </row>
        <row r="7">
          <cell r="B7">
            <v>22</v>
          </cell>
        </row>
        <row r="8">
          <cell r="B8">
            <v>14</v>
          </cell>
        </row>
        <row r="9">
          <cell r="B9">
            <v>17</v>
          </cell>
        </row>
        <row r="10">
          <cell r="B10">
            <v>19</v>
          </cell>
        </row>
        <row r="11">
          <cell r="B11">
            <v>72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freq_10"/>
    </sheetNames>
    <sheetDataSet>
      <sheetData sheetId="0">
        <row r="2">
          <cell r="B2">
            <v>1873</v>
          </cell>
        </row>
        <row r="3">
          <cell r="B3">
            <v>290</v>
          </cell>
        </row>
        <row r="4">
          <cell r="B4">
            <v>171</v>
          </cell>
        </row>
        <row r="5">
          <cell r="B5">
            <v>123</v>
          </cell>
        </row>
        <row r="6">
          <cell r="B6">
            <v>113</v>
          </cell>
        </row>
        <row r="7">
          <cell r="B7">
            <v>73</v>
          </cell>
        </row>
        <row r="8">
          <cell r="B8">
            <v>71</v>
          </cell>
        </row>
        <row r="9">
          <cell r="B9">
            <v>93</v>
          </cell>
        </row>
        <row r="10">
          <cell r="B10">
            <v>103</v>
          </cell>
        </row>
        <row r="11">
          <cell r="B11">
            <v>311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6_stat_stem_AT_GC_freq_10"/>
    </sheetNames>
    <sheetDataSet>
      <sheetData sheetId="0">
        <row r="2">
          <cell r="B2">
            <v>74</v>
          </cell>
        </row>
        <row r="3">
          <cell r="B3">
            <v>14</v>
          </cell>
        </row>
        <row r="4">
          <cell r="B4">
            <v>2</v>
          </cell>
        </row>
        <row r="5">
          <cell r="B5">
            <v>5</v>
          </cell>
        </row>
        <row r="6">
          <cell r="B6">
            <v>1</v>
          </cell>
        </row>
        <row r="7">
          <cell r="B7">
            <v>2</v>
          </cell>
        </row>
        <row r="8">
          <cell r="B8">
            <v>6</v>
          </cell>
        </row>
        <row r="9">
          <cell r="B9">
            <v>3</v>
          </cell>
        </row>
        <row r="10">
          <cell r="B10">
            <v>9</v>
          </cell>
        </row>
        <row r="11">
          <cell r="B11">
            <v>31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1_stat_stem_AT_GC_freq_10"/>
    </sheetNames>
    <sheetDataSet>
      <sheetData sheetId="0">
        <row r="2">
          <cell r="B2">
            <v>412</v>
          </cell>
        </row>
        <row r="3">
          <cell r="B3">
            <v>64</v>
          </cell>
        </row>
        <row r="4">
          <cell r="B4">
            <v>40</v>
          </cell>
        </row>
        <row r="5">
          <cell r="B5">
            <v>34</v>
          </cell>
        </row>
        <row r="6">
          <cell r="B6">
            <v>29</v>
          </cell>
        </row>
        <row r="7">
          <cell r="B7">
            <v>40</v>
          </cell>
        </row>
        <row r="8">
          <cell r="B8">
            <v>29</v>
          </cell>
        </row>
        <row r="9">
          <cell r="B9">
            <v>24</v>
          </cell>
        </row>
        <row r="10">
          <cell r="B10">
            <v>34</v>
          </cell>
        </row>
        <row r="11">
          <cell r="B11">
            <v>117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2_stat_stem_AT_GC_freq_10"/>
    </sheetNames>
    <sheetDataSet>
      <sheetData sheetId="0">
        <row r="2">
          <cell r="B2">
            <v>1042</v>
          </cell>
        </row>
        <row r="3">
          <cell r="B3">
            <v>183</v>
          </cell>
        </row>
        <row r="4">
          <cell r="B4">
            <v>109</v>
          </cell>
        </row>
        <row r="5">
          <cell r="B5">
            <v>85</v>
          </cell>
        </row>
        <row r="6">
          <cell r="B6">
            <v>86</v>
          </cell>
        </row>
        <row r="7">
          <cell r="B7">
            <v>73</v>
          </cell>
        </row>
        <row r="8">
          <cell r="B8">
            <v>55</v>
          </cell>
        </row>
        <row r="9">
          <cell r="B9">
            <v>82</v>
          </cell>
        </row>
        <row r="10">
          <cell r="B10">
            <v>105</v>
          </cell>
        </row>
        <row r="11">
          <cell r="B11">
            <v>314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3_stat_stem_AT_GC_freq_10"/>
    </sheetNames>
    <sheetDataSet>
      <sheetData sheetId="0">
        <row r="2">
          <cell r="B2">
            <v>49</v>
          </cell>
        </row>
        <row r="3">
          <cell r="B3">
            <v>3</v>
          </cell>
        </row>
        <row r="4">
          <cell r="B4">
            <v>1</v>
          </cell>
        </row>
        <row r="5">
          <cell r="B5">
            <v>5</v>
          </cell>
        </row>
        <row r="6">
          <cell r="B6">
            <v>6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2</v>
          </cell>
        </row>
        <row r="10">
          <cell r="B10">
            <v>5</v>
          </cell>
        </row>
        <row r="11">
          <cell r="B11">
            <v>13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4_stat_stem_AT_GC_freq_10"/>
    </sheetNames>
    <sheetDataSet>
      <sheetData sheetId="0">
        <row r="2">
          <cell r="B2">
            <v>48</v>
          </cell>
        </row>
        <row r="3">
          <cell r="B3">
            <v>5</v>
          </cell>
        </row>
        <row r="4">
          <cell r="B4">
            <v>0</v>
          </cell>
        </row>
        <row r="5">
          <cell r="B5">
            <v>8</v>
          </cell>
        </row>
        <row r="6">
          <cell r="B6">
            <v>11</v>
          </cell>
        </row>
        <row r="7">
          <cell r="B7">
            <v>3</v>
          </cell>
        </row>
        <row r="8">
          <cell r="B8">
            <v>4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7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5_stat_stem_AT_GC_freq_10"/>
    </sheetNames>
    <sheetDataSet>
      <sheetData sheetId="0">
        <row r="2">
          <cell r="B2">
            <v>64</v>
          </cell>
        </row>
        <row r="3">
          <cell r="B3">
            <v>13</v>
          </cell>
        </row>
        <row r="4">
          <cell r="B4">
            <v>4</v>
          </cell>
        </row>
        <row r="5">
          <cell r="B5">
            <v>7</v>
          </cell>
        </row>
        <row r="6">
          <cell r="B6">
            <v>3</v>
          </cell>
        </row>
        <row r="7">
          <cell r="B7">
            <v>2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10</v>
          </cell>
        </row>
        <row r="11">
          <cell r="B11">
            <v>27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6_stat_stem_AT_GC_freq_10"/>
    </sheetNames>
    <sheetDataSet>
      <sheetData sheetId="0">
        <row r="2">
          <cell r="B2">
            <v>56</v>
          </cell>
        </row>
        <row r="3">
          <cell r="B3">
            <v>4</v>
          </cell>
        </row>
        <row r="4">
          <cell r="B4">
            <v>0</v>
          </cell>
        </row>
        <row r="5">
          <cell r="B5">
            <v>5</v>
          </cell>
        </row>
        <row r="6">
          <cell r="B6">
            <v>8</v>
          </cell>
        </row>
        <row r="7">
          <cell r="B7">
            <v>3</v>
          </cell>
        </row>
        <row r="8">
          <cell r="B8">
            <v>3</v>
          </cell>
        </row>
        <row r="9">
          <cell r="B9">
            <v>2</v>
          </cell>
        </row>
        <row r="10">
          <cell r="B10">
            <v>4</v>
          </cell>
        </row>
        <row r="11">
          <cell r="B11">
            <v>11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7_stat_stem_AT_GC_freq_10"/>
    </sheetNames>
    <sheetDataSet>
      <sheetData sheetId="0">
        <row r="2">
          <cell r="B2">
            <v>133</v>
          </cell>
        </row>
        <row r="3">
          <cell r="B3">
            <v>22</v>
          </cell>
        </row>
        <row r="4">
          <cell r="B4">
            <v>10</v>
          </cell>
        </row>
        <row r="5">
          <cell r="B5">
            <v>8</v>
          </cell>
        </row>
        <row r="6">
          <cell r="B6">
            <v>8</v>
          </cell>
        </row>
        <row r="7">
          <cell r="B7">
            <v>8</v>
          </cell>
        </row>
        <row r="8">
          <cell r="B8">
            <v>10</v>
          </cell>
        </row>
        <row r="9">
          <cell r="B9">
            <v>9</v>
          </cell>
        </row>
        <row r="10">
          <cell r="B10">
            <v>14</v>
          </cell>
        </row>
        <row r="11">
          <cell r="B11">
            <v>51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8_stat_stem_AT_GC_freq_10"/>
    </sheetNames>
    <sheetDataSet>
      <sheetData sheetId="0">
        <row r="2">
          <cell r="B2">
            <v>42</v>
          </cell>
        </row>
        <row r="3">
          <cell r="B3">
            <v>3</v>
          </cell>
        </row>
        <row r="4">
          <cell r="B4">
            <v>0</v>
          </cell>
        </row>
        <row r="5">
          <cell r="B5">
            <v>5</v>
          </cell>
        </row>
        <row r="6">
          <cell r="B6">
            <v>8</v>
          </cell>
        </row>
        <row r="7">
          <cell r="B7">
            <v>3</v>
          </cell>
        </row>
        <row r="8">
          <cell r="B8">
            <v>3</v>
          </cell>
        </row>
        <row r="9">
          <cell r="B9">
            <v>2</v>
          </cell>
        </row>
        <row r="10">
          <cell r="B10">
            <v>4</v>
          </cell>
        </row>
        <row r="11">
          <cell r="B11">
            <v>8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9_stat_stem_AT_GC_freq_10"/>
    </sheetNames>
    <sheetDataSet>
      <sheetData sheetId="0">
        <row r="2">
          <cell r="B2">
            <v>38</v>
          </cell>
        </row>
        <row r="3">
          <cell r="B3">
            <v>5</v>
          </cell>
        </row>
        <row r="4">
          <cell r="B4">
            <v>2</v>
          </cell>
        </row>
        <row r="5">
          <cell r="B5">
            <v>6</v>
          </cell>
        </row>
        <row r="6">
          <cell r="B6">
            <v>4</v>
          </cell>
        </row>
        <row r="7">
          <cell r="B7">
            <v>4</v>
          </cell>
        </row>
        <row r="8">
          <cell r="B8">
            <v>2</v>
          </cell>
        </row>
        <row r="9">
          <cell r="B9">
            <v>0</v>
          </cell>
        </row>
        <row r="10">
          <cell r="B10">
            <v>5</v>
          </cell>
        </row>
        <row r="11">
          <cell r="B11">
            <v>18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freq_10"/>
    </sheetNames>
    <sheetDataSet>
      <sheetData sheetId="0">
        <row r="2">
          <cell r="B2">
            <v>1497</v>
          </cell>
        </row>
        <row r="3">
          <cell r="B3">
            <v>242</v>
          </cell>
        </row>
        <row r="4">
          <cell r="B4">
            <v>149</v>
          </cell>
        </row>
        <row r="5">
          <cell r="B5">
            <v>98</v>
          </cell>
        </row>
        <row r="6">
          <cell r="B6">
            <v>87</v>
          </cell>
        </row>
        <row r="7">
          <cell r="B7">
            <v>88</v>
          </cell>
        </row>
        <row r="8">
          <cell r="B8">
            <v>74</v>
          </cell>
        </row>
        <row r="9">
          <cell r="B9">
            <v>73</v>
          </cell>
        </row>
        <row r="10">
          <cell r="B10">
            <v>75</v>
          </cell>
        </row>
        <row r="11">
          <cell r="B11">
            <v>215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10_stat_stem_AT_GC_freq_10"/>
    </sheetNames>
    <sheetDataSet>
      <sheetData sheetId="0">
        <row r="2">
          <cell r="B2">
            <v>79</v>
          </cell>
        </row>
        <row r="3">
          <cell r="B3">
            <v>14</v>
          </cell>
        </row>
        <row r="4">
          <cell r="B4">
            <v>10</v>
          </cell>
        </row>
        <row r="5">
          <cell r="B5">
            <v>6</v>
          </cell>
        </row>
        <row r="6">
          <cell r="B6">
            <v>8</v>
          </cell>
        </row>
        <row r="7">
          <cell r="B7">
            <v>2</v>
          </cell>
        </row>
        <row r="8">
          <cell r="B8">
            <v>5</v>
          </cell>
        </row>
        <row r="9">
          <cell r="B9">
            <v>8</v>
          </cell>
        </row>
        <row r="10">
          <cell r="B10">
            <v>6</v>
          </cell>
        </row>
        <row r="11">
          <cell r="B11">
            <v>19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11_stat_stem_AT_GC_freq_10"/>
    </sheetNames>
    <sheetDataSet>
      <sheetData sheetId="0">
        <row r="2">
          <cell r="B2">
            <v>121</v>
          </cell>
        </row>
        <row r="3">
          <cell r="B3">
            <v>21</v>
          </cell>
        </row>
        <row r="4">
          <cell r="B4">
            <v>13</v>
          </cell>
        </row>
        <row r="5">
          <cell r="B5">
            <v>12</v>
          </cell>
        </row>
        <row r="6">
          <cell r="B6">
            <v>7</v>
          </cell>
        </row>
        <row r="7">
          <cell r="B7">
            <v>7</v>
          </cell>
        </row>
        <row r="8">
          <cell r="B8">
            <v>6</v>
          </cell>
        </row>
        <row r="9">
          <cell r="B9">
            <v>3</v>
          </cell>
        </row>
        <row r="10">
          <cell r="B10">
            <v>3</v>
          </cell>
        </row>
        <row r="11">
          <cell r="B11">
            <v>49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12_stat_stem_AT_GC_freq_10"/>
    </sheetNames>
    <sheetDataSet>
      <sheetData sheetId="0">
        <row r="2">
          <cell r="B2">
            <v>130</v>
          </cell>
        </row>
        <row r="3">
          <cell r="B3">
            <v>18</v>
          </cell>
        </row>
        <row r="4">
          <cell r="B4">
            <v>13</v>
          </cell>
        </row>
        <row r="5">
          <cell r="B5">
            <v>7</v>
          </cell>
        </row>
        <row r="6">
          <cell r="B6">
            <v>8</v>
          </cell>
        </row>
        <row r="7">
          <cell r="B7">
            <v>6</v>
          </cell>
        </row>
        <row r="8">
          <cell r="B8">
            <v>5</v>
          </cell>
        </row>
        <row r="9">
          <cell r="B9">
            <v>8</v>
          </cell>
        </row>
        <row r="10">
          <cell r="B10">
            <v>10</v>
          </cell>
        </row>
        <row r="11">
          <cell r="B11">
            <v>34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13_stat_stem_AT_GC_freq_10"/>
    </sheetNames>
    <sheetDataSet>
      <sheetData sheetId="0">
        <row r="2">
          <cell r="B2">
            <v>72</v>
          </cell>
        </row>
        <row r="3">
          <cell r="B3">
            <v>9</v>
          </cell>
        </row>
        <row r="4">
          <cell r="B4">
            <v>6</v>
          </cell>
        </row>
        <row r="5">
          <cell r="B5">
            <v>5</v>
          </cell>
        </row>
        <row r="6">
          <cell r="B6">
            <v>6</v>
          </cell>
        </row>
        <row r="7">
          <cell r="B7">
            <v>1</v>
          </cell>
        </row>
        <row r="8">
          <cell r="B8">
            <v>8</v>
          </cell>
        </row>
        <row r="9">
          <cell r="B9">
            <v>5</v>
          </cell>
        </row>
        <row r="10">
          <cell r="B10">
            <v>7</v>
          </cell>
        </row>
        <row r="11">
          <cell r="B11">
            <v>19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14_stat_stem_AT_GC_freq_10"/>
    </sheetNames>
    <sheetDataSet>
      <sheetData sheetId="0">
        <row r="2">
          <cell r="B2">
            <v>210</v>
          </cell>
        </row>
        <row r="3">
          <cell r="B3">
            <v>26</v>
          </cell>
        </row>
        <row r="4">
          <cell r="B4">
            <v>17</v>
          </cell>
        </row>
        <row r="5">
          <cell r="B5">
            <v>18</v>
          </cell>
        </row>
        <row r="6">
          <cell r="B6">
            <v>17</v>
          </cell>
        </row>
        <row r="7">
          <cell r="B7">
            <v>19</v>
          </cell>
        </row>
        <row r="8">
          <cell r="B8">
            <v>11</v>
          </cell>
        </row>
        <row r="9">
          <cell r="B9">
            <v>13</v>
          </cell>
        </row>
        <row r="10">
          <cell r="B10">
            <v>26</v>
          </cell>
        </row>
        <row r="11">
          <cell r="B11">
            <v>54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15_stat_stem_AT_GC_freq_10"/>
    </sheetNames>
    <sheetDataSet>
      <sheetData sheetId="0">
        <row r="2">
          <cell r="B2">
            <v>266</v>
          </cell>
        </row>
        <row r="3">
          <cell r="B3">
            <v>36</v>
          </cell>
        </row>
        <row r="4">
          <cell r="B4">
            <v>36</v>
          </cell>
        </row>
        <row r="5">
          <cell r="B5">
            <v>13</v>
          </cell>
        </row>
        <row r="6">
          <cell r="B6">
            <v>23</v>
          </cell>
        </row>
        <row r="7">
          <cell r="B7">
            <v>16</v>
          </cell>
        </row>
        <row r="8">
          <cell r="B8">
            <v>17</v>
          </cell>
        </row>
        <row r="9">
          <cell r="B9">
            <v>21</v>
          </cell>
        </row>
        <row r="10">
          <cell r="B10">
            <v>23</v>
          </cell>
        </row>
        <row r="11">
          <cell r="B11">
            <v>85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_16_stat_stem_AT_GC_freq_10"/>
    </sheetNames>
    <sheetDataSet>
      <sheetData sheetId="0">
        <row r="2">
          <cell r="B2">
            <v>55</v>
          </cell>
        </row>
        <row r="3">
          <cell r="B3">
            <v>9</v>
          </cell>
        </row>
        <row r="4">
          <cell r="B4">
            <v>4</v>
          </cell>
        </row>
        <row r="5">
          <cell r="B5">
            <v>6</v>
          </cell>
        </row>
        <row r="6">
          <cell r="B6">
            <v>7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3</v>
          </cell>
        </row>
        <row r="10">
          <cell r="B10">
            <v>3</v>
          </cell>
        </row>
        <row r="11">
          <cell r="B11">
            <v>8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1_stat_stem_AT_GC_freq_10"/>
    </sheetNames>
    <sheetDataSet>
      <sheetData sheetId="0">
        <row r="2">
          <cell r="B2">
            <v>375</v>
          </cell>
        </row>
        <row r="3">
          <cell r="B3">
            <v>58</v>
          </cell>
        </row>
        <row r="4">
          <cell r="B4">
            <v>36</v>
          </cell>
        </row>
        <row r="5">
          <cell r="B5">
            <v>32</v>
          </cell>
        </row>
        <row r="6">
          <cell r="B6">
            <v>26</v>
          </cell>
        </row>
        <row r="7">
          <cell r="B7">
            <v>34</v>
          </cell>
        </row>
        <row r="8">
          <cell r="B8">
            <v>25</v>
          </cell>
        </row>
        <row r="9">
          <cell r="B9">
            <v>22</v>
          </cell>
        </row>
        <row r="10">
          <cell r="B10">
            <v>31</v>
          </cell>
        </row>
        <row r="11">
          <cell r="B11">
            <v>108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2_stat_stem_AT_GC_freq_10"/>
    </sheetNames>
    <sheetDataSet>
      <sheetData sheetId="0">
        <row r="2">
          <cell r="B2">
            <v>49</v>
          </cell>
        </row>
        <row r="3">
          <cell r="B3">
            <v>3</v>
          </cell>
        </row>
        <row r="4">
          <cell r="B4">
            <v>8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6</v>
          </cell>
        </row>
        <row r="11">
          <cell r="B11">
            <v>15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3_stat_stem_AT_GC_freq_10"/>
    </sheetNames>
    <sheetDataSet>
      <sheetData sheetId="0">
        <row r="2">
          <cell r="B2">
            <v>150</v>
          </cell>
        </row>
        <row r="3">
          <cell r="B3">
            <v>23</v>
          </cell>
        </row>
        <row r="4">
          <cell r="B4">
            <v>15</v>
          </cell>
        </row>
        <row r="5">
          <cell r="B5">
            <v>11</v>
          </cell>
        </row>
        <row r="6">
          <cell r="B6">
            <v>11</v>
          </cell>
        </row>
        <row r="7">
          <cell r="B7">
            <v>8</v>
          </cell>
        </row>
        <row r="8">
          <cell r="B8">
            <v>9</v>
          </cell>
        </row>
        <row r="9">
          <cell r="B9">
            <v>9</v>
          </cell>
        </row>
        <row r="10">
          <cell r="B10">
            <v>20</v>
          </cell>
        </row>
        <row r="11">
          <cell r="B11">
            <v>45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AT_GC_freq_1"/>
    </sheetNames>
    <sheetDataSet>
      <sheetData sheetId="0">
        <row r="2">
          <cell r="B2">
            <v>828</v>
          </cell>
        </row>
        <row r="3">
          <cell r="B3">
            <v>127</v>
          </cell>
        </row>
        <row r="4">
          <cell r="B4">
            <v>78</v>
          </cell>
        </row>
        <row r="5">
          <cell r="B5">
            <v>54</v>
          </cell>
        </row>
        <row r="6">
          <cell r="B6">
            <v>55</v>
          </cell>
        </row>
        <row r="7">
          <cell r="B7">
            <v>37</v>
          </cell>
        </row>
        <row r="8">
          <cell r="B8">
            <v>35</v>
          </cell>
        </row>
        <row r="9">
          <cell r="B9">
            <v>54</v>
          </cell>
        </row>
        <row r="10">
          <cell r="B10">
            <v>61</v>
          </cell>
        </row>
        <row r="11">
          <cell r="B11">
            <v>167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4_stat_stem_AT_GC_freq_10"/>
    </sheetNames>
    <sheetDataSet>
      <sheetData sheetId="0">
        <row r="2">
          <cell r="B2">
            <v>532</v>
          </cell>
        </row>
        <row r="3">
          <cell r="B3">
            <v>82</v>
          </cell>
        </row>
        <row r="4">
          <cell r="B4">
            <v>38</v>
          </cell>
        </row>
        <row r="5">
          <cell r="B5">
            <v>44</v>
          </cell>
        </row>
        <row r="6">
          <cell r="B6">
            <v>39</v>
          </cell>
        </row>
        <row r="7">
          <cell r="B7">
            <v>34</v>
          </cell>
        </row>
        <row r="8">
          <cell r="B8">
            <v>27</v>
          </cell>
        </row>
        <row r="9">
          <cell r="B9">
            <v>25</v>
          </cell>
        </row>
        <row r="10">
          <cell r="B10">
            <v>54</v>
          </cell>
        </row>
        <row r="11">
          <cell r="B11">
            <v>130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5_stat_stem_AT_GC_freq_10"/>
    </sheetNames>
    <sheetDataSet>
      <sheetData sheetId="0">
        <row r="2">
          <cell r="B2">
            <v>828</v>
          </cell>
        </row>
        <row r="3">
          <cell r="B3">
            <v>142</v>
          </cell>
        </row>
        <row r="4">
          <cell r="B4">
            <v>86</v>
          </cell>
        </row>
        <row r="5">
          <cell r="B5">
            <v>69</v>
          </cell>
        </row>
        <row r="6">
          <cell r="B6">
            <v>81</v>
          </cell>
        </row>
        <row r="7">
          <cell r="B7">
            <v>75</v>
          </cell>
        </row>
        <row r="8">
          <cell r="B8">
            <v>45</v>
          </cell>
        </row>
        <row r="9">
          <cell r="B9">
            <v>47</v>
          </cell>
        </row>
        <row r="10">
          <cell r="B10">
            <v>83</v>
          </cell>
        </row>
        <row r="11">
          <cell r="B11">
            <v>231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6_stat_stem_AT_GC_freq_10"/>
    </sheetNames>
    <sheetDataSet>
      <sheetData sheetId="0">
        <row r="2">
          <cell r="B2">
            <v>78</v>
          </cell>
        </row>
        <row r="3">
          <cell r="B3">
            <v>12</v>
          </cell>
        </row>
        <row r="4">
          <cell r="B4">
            <v>7</v>
          </cell>
        </row>
        <row r="5">
          <cell r="B5">
            <v>4</v>
          </cell>
        </row>
        <row r="6">
          <cell r="B6">
            <v>6</v>
          </cell>
        </row>
        <row r="7">
          <cell r="B7">
            <v>7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2</v>
          </cell>
        </row>
        <row r="11">
          <cell r="B11">
            <v>19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7_stat_stem_AT_GC_freq_10"/>
    </sheetNames>
    <sheetDataSet>
      <sheetData sheetId="0">
        <row r="2">
          <cell r="B2">
            <v>20</v>
          </cell>
        </row>
        <row r="3">
          <cell r="B3">
            <v>4</v>
          </cell>
        </row>
        <row r="4">
          <cell r="B4">
            <v>1</v>
          </cell>
        </row>
        <row r="5">
          <cell r="B5">
            <v>3</v>
          </cell>
        </row>
        <row r="6">
          <cell r="B6">
            <v>2</v>
          </cell>
        </row>
        <row r="7">
          <cell r="B7">
            <v>1</v>
          </cell>
        </row>
        <row r="8">
          <cell r="B8">
            <v>1</v>
          </cell>
        </row>
        <row r="9">
          <cell r="B9">
            <v>0</v>
          </cell>
        </row>
        <row r="10">
          <cell r="B10">
            <v>4</v>
          </cell>
        </row>
        <row r="11">
          <cell r="B11">
            <v>7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8_stat_stem_AT_GC_freq_10"/>
    </sheetNames>
    <sheetDataSet>
      <sheetData sheetId="0">
        <row r="2">
          <cell r="B2">
            <v>18</v>
          </cell>
        </row>
        <row r="3">
          <cell r="B3">
            <v>2</v>
          </cell>
        </row>
        <row r="4">
          <cell r="B4">
            <v>4</v>
          </cell>
        </row>
        <row r="5">
          <cell r="B5">
            <v>1</v>
          </cell>
        </row>
        <row r="6">
          <cell r="B6">
            <v>3</v>
          </cell>
        </row>
        <row r="7">
          <cell r="B7">
            <v>3</v>
          </cell>
        </row>
        <row r="8">
          <cell r="B8">
            <v>0</v>
          </cell>
        </row>
        <row r="9">
          <cell r="B9">
            <v>2</v>
          </cell>
        </row>
        <row r="10">
          <cell r="B10">
            <v>1</v>
          </cell>
        </row>
        <row r="11">
          <cell r="B11">
            <v>8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9_stat_stem_AT_GC_freq_10"/>
    </sheetNames>
    <sheetDataSet>
      <sheetData sheetId="0">
        <row r="2">
          <cell r="B2">
            <v>99</v>
          </cell>
        </row>
        <row r="3">
          <cell r="B3">
            <v>11</v>
          </cell>
        </row>
        <row r="4">
          <cell r="B4">
            <v>7</v>
          </cell>
        </row>
        <row r="5">
          <cell r="B5">
            <v>8</v>
          </cell>
        </row>
        <row r="6">
          <cell r="B6">
            <v>9</v>
          </cell>
        </row>
        <row r="7">
          <cell r="B7">
            <v>9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5</v>
          </cell>
        </row>
        <row r="11">
          <cell r="B11">
            <v>36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10_stat_stem_AT_GC_freq_10"/>
    </sheetNames>
    <sheetDataSet>
      <sheetData sheetId="0">
        <row r="2">
          <cell r="B2">
            <v>19</v>
          </cell>
        </row>
        <row r="3">
          <cell r="B3">
            <v>4</v>
          </cell>
        </row>
        <row r="4">
          <cell r="B4">
            <v>1</v>
          </cell>
        </row>
        <row r="5">
          <cell r="B5">
            <v>1</v>
          </cell>
        </row>
        <row r="6">
          <cell r="B6">
            <v>0</v>
          </cell>
        </row>
        <row r="7">
          <cell r="B7">
            <v>6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5</v>
          </cell>
        </row>
        <row r="11">
          <cell r="B11">
            <v>9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11_stat_stem_AT_GC_freq_10"/>
    </sheetNames>
    <sheetDataSet>
      <sheetData sheetId="0">
        <row r="2">
          <cell r="B2">
            <v>278</v>
          </cell>
        </row>
        <row r="3">
          <cell r="B3">
            <v>47</v>
          </cell>
        </row>
        <row r="4">
          <cell r="B4">
            <v>43</v>
          </cell>
        </row>
        <row r="5">
          <cell r="B5">
            <v>20</v>
          </cell>
        </row>
        <row r="6">
          <cell r="B6">
            <v>23</v>
          </cell>
        </row>
        <row r="7">
          <cell r="B7">
            <v>20</v>
          </cell>
        </row>
        <row r="8">
          <cell r="B8">
            <v>19</v>
          </cell>
        </row>
        <row r="9">
          <cell r="B9">
            <v>20</v>
          </cell>
        </row>
        <row r="10">
          <cell r="B10">
            <v>30</v>
          </cell>
        </row>
        <row r="11">
          <cell r="B11">
            <v>77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12_stat_stem_AT_GC_freq_10"/>
    </sheetNames>
    <sheetDataSet>
      <sheetData sheetId="0">
        <row r="2">
          <cell r="B2">
            <v>141</v>
          </cell>
        </row>
        <row r="3">
          <cell r="B3">
            <v>16</v>
          </cell>
        </row>
        <row r="4">
          <cell r="B4">
            <v>13</v>
          </cell>
        </row>
        <row r="5">
          <cell r="B5">
            <v>14</v>
          </cell>
        </row>
        <row r="6">
          <cell r="B6">
            <v>12</v>
          </cell>
        </row>
        <row r="7">
          <cell r="B7">
            <v>16</v>
          </cell>
        </row>
        <row r="8">
          <cell r="B8">
            <v>8</v>
          </cell>
        </row>
        <row r="9">
          <cell r="B9">
            <v>11</v>
          </cell>
        </row>
        <row r="10">
          <cell r="B10">
            <v>14</v>
          </cell>
        </row>
        <row r="11">
          <cell r="B11">
            <v>33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13_stat_stem_AT_GC_freq_10"/>
    </sheetNames>
    <sheetDataSet>
      <sheetData sheetId="0">
        <row r="2">
          <cell r="B2">
            <v>69</v>
          </cell>
        </row>
        <row r="3">
          <cell r="B3">
            <v>14</v>
          </cell>
        </row>
        <row r="4">
          <cell r="B4">
            <v>3</v>
          </cell>
        </row>
        <row r="5">
          <cell r="B5">
            <v>10</v>
          </cell>
        </row>
        <row r="6">
          <cell r="B6">
            <v>4</v>
          </cell>
        </row>
        <row r="7">
          <cell r="B7">
            <v>4</v>
          </cell>
        </row>
        <row r="8">
          <cell r="B8">
            <v>7</v>
          </cell>
        </row>
        <row r="9">
          <cell r="B9">
            <v>3</v>
          </cell>
        </row>
        <row r="10">
          <cell r="B10">
            <v>6</v>
          </cell>
        </row>
        <row r="11">
          <cell r="B11">
            <v>19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AT_GC_freq_1"/>
    </sheetNames>
    <sheetDataSet>
      <sheetData sheetId="0">
        <row r="2">
          <cell r="B2">
            <v>791</v>
          </cell>
        </row>
        <row r="3">
          <cell r="B3">
            <v>133</v>
          </cell>
        </row>
        <row r="4">
          <cell r="B4">
            <v>75</v>
          </cell>
        </row>
        <row r="5">
          <cell r="B5">
            <v>44</v>
          </cell>
        </row>
        <row r="6">
          <cell r="B6">
            <v>50</v>
          </cell>
        </row>
        <row r="7">
          <cell r="B7">
            <v>38</v>
          </cell>
        </row>
        <row r="8">
          <cell r="B8">
            <v>35</v>
          </cell>
        </row>
        <row r="9">
          <cell r="B9">
            <v>32</v>
          </cell>
        </row>
        <row r="10">
          <cell r="B10">
            <v>41</v>
          </cell>
        </row>
        <row r="11">
          <cell r="B11">
            <v>115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14_stat_stem_AT_GC_freq_10"/>
    </sheetNames>
    <sheetDataSet>
      <sheetData sheetId="0">
        <row r="2">
          <cell r="B2">
            <v>81</v>
          </cell>
        </row>
        <row r="3">
          <cell r="B3">
            <v>15</v>
          </cell>
        </row>
        <row r="4">
          <cell r="B4">
            <v>8</v>
          </cell>
        </row>
        <row r="5">
          <cell r="B5">
            <v>4</v>
          </cell>
        </row>
        <row r="6">
          <cell r="B6">
            <v>6</v>
          </cell>
        </row>
        <row r="7">
          <cell r="B7">
            <v>6</v>
          </cell>
        </row>
        <row r="8">
          <cell r="B8">
            <v>5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28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15_stat_stem_AT_GC_freq_10"/>
    </sheetNames>
    <sheetDataSet>
      <sheetData sheetId="0">
        <row r="2">
          <cell r="B2">
            <v>100</v>
          </cell>
        </row>
        <row r="3">
          <cell r="B3">
            <v>18</v>
          </cell>
        </row>
        <row r="4">
          <cell r="B4">
            <v>21</v>
          </cell>
        </row>
        <row r="5">
          <cell r="B5">
            <v>9</v>
          </cell>
        </row>
        <row r="6">
          <cell r="B6">
            <v>7</v>
          </cell>
        </row>
        <row r="7">
          <cell r="B7">
            <v>7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2</v>
          </cell>
        </row>
        <row r="11">
          <cell r="B11">
            <v>44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16_stat_stem_AT_GC_freq_10"/>
    </sheetNames>
    <sheetDataSet>
      <sheetData sheetId="0">
        <row r="2">
          <cell r="B2">
            <v>116</v>
          </cell>
        </row>
        <row r="3">
          <cell r="B3">
            <v>28</v>
          </cell>
        </row>
        <row r="4">
          <cell r="B4">
            <v>12</v>
          </cell>
        </row>
        <row r="5">
          <cell r="B5">
            <v>6</v>
          </cell>
        </row>
        <row r="6">
          <cell r="B6">
            <v>4</v>
          </cell>
        </row>
        <row r="7">
          <cell r="B7">
            <v>11</v>
          </cell>
        </row>
        <row r="8">
          <cell r="B8">
            <v>9</v>
          </cell>
        </row>
        <row r="9">
          <cell r="B9">
            <v>8</v>
          </cell>
        </row>
        <row r="10">
          <cell r="B10">
            <v>12</v>
          </cell>
        </row>
        <row r="11">
          <cell r="B11">
            <v>28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_stat_stem_AT_GC_freq_10"/>
    </sheetNames>
    <sheetDataSet>
      <sheetData sheetId="0">
        <row r="2">
          <cell r="B2">
            <v>998</v>
          </cell>
        </row>
        <row r="3">
          <cell r="B3">
            <v>138</v>
          </cell>
        </row>
        <row r="4">
          <cell r="B4">
            <v>77</v>
          </cell>
        </row>
        <row r="5">
          <cell r="B5">
            <v>78</v>
          </cell>
        </row>
        <row r="6">
          <cell r="B6">
            <v>86</v>
          </cell>
        </row>
        <row r="7">
          <cell r="B7">
            <v>64</v>
          </cell>
        </row>
        <row r="8">
          <cell r="B8">
            <v>57</v>
          </cell>
        </row>
        <row r="9">
          <cell r="B9">
            <v>55</v>
          </cell>
        </row>
        <row r="10">
          <cell r="B10">
            <v>96</v>
          </cell>
        </row>
        <row r="11">
          <cell r="B11">
            <v>273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_stat_stem_AT_GC_freq_10"/>
    </sheetNames>
    <sheetDataSet>
      <sheetData sheetId="0">
        <row r="2">
          <cell r="B2">
            <v>378</v>
          </cell>
        </row>
        <row r="3">
          <cell r="B3">
            <v>50</v>
          </cell>
        </row>
        <row r="4">
          <cell r="B4">
            <v>30</v>
          </cell>
        </row>
        <row r="5">
          <cell r="B5">
            <v>32</v>
          </cell>
        </row>
        <row r="6">
          <cell r="B6">
            <v>32</v>
          </cell>
        </row>
        <row r="7">
          <cell r="B7">
            <v>24</v>
          </cell>
        </row>
        <row r="8">
          <cell r="B8">
            <v>20</v>
          </cell>
        </row>
        <row r="9">
          <cell r="B9">
            <v>15</v>
          </cell>
        </row>
        <row r="10">
          <cell r="B10">
            <v>22</v>
          </cell>
        </row>
        <row r="11">
          <cell r="B11">
            <v>95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3_stat_stem_AT_GC_freq_10"/>
    </sheetNames>
    <sheetDataSet>
      <sheetData sheetId="0">
        <row r="2">
          <cell r="B2">
            <v>432</v>
          </cell>
        </row>
        <row r="3">
          <cell r="B3">
            <v>60</v>
          </cell>
        </row>
        <row r="4">
          <cell r="B4">
            <v>32</v>
          </cell>
        </row>
        <row r="5">
          <cell r="B5">
            <v>35</v>
          </cell>
        </row>
        <row r="6">
          <cell r="B6">
            <v>33</v>
          </cell>
        </row>
        <row r="7">
          <cell r="B7">
            <v>33</v>
          </cell>
        </row>
        <row r="8">
          <cell r="B8">
            <v>26</v>
          </cell>
        </row>
        <row r="9">
          <cell r="B9">
            <v>11</v>
          </cell>
        </row>
        <row r="10">
          <cell r="B10">
            <v>34</v>
          </cell>
        </row>
        <row r="11">
          <cell r="B11">
            <v>122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4_stat_stem_AT_GC_freq_10"/>
    </sheetNames>
    <sheetDataSet>
      <sheetData sheetId="0">
        <row r="2">
          <cell r="B2">
            <v>151</v>
          </cell>
        </row>
        <row r="3">
          <cell r="B3">
            <v>15</v>
          </cell>
        </row>
        <row r="4">
          <cell r="B4">
            <v>22</v>
          </cell>
        </row>
        <row r="5">
          <cell r="B5">
            <v>9</v>
          </cell>
        </row>
        <row r="6">
          <cell r="B6">
            <v>8</v>
          </cell>
        </row>
        <row r="7">
          <cell r="B7">
            <v>20</v>
          </cell>
        </row>
        <row r="8">
          <cell r="B8">
            <v>10</v>
          </cell>
        </row>
        <row r="9">
          <cell r="B9">
            <v>9</v>
          </cell>
        </row>
        <row r="10">
          <cell r="B10">
            <v>16</v>
          </cell>
        </row>
        <row r="11">
          <cell r="B11">
            <v>41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5_stat_stem_AT_GC_freq_10"/>
    </sheetNames>
    <sheetDataSet>
      <sheetData sheetId="0">
        <row r="2">
          <cell r="B2">
            <v>102</v>
          </cell>
        </row>
        <row r="3">
          <cell r="B3">
            <v>9</v>
          </cell>
        </row>
        <row r="4">
          <cell r="B4">
            <v>12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11</v>
          </cell>
        </row>
        <row r="8">
          <cell r="B8">
            <v>4</v>
          </cell>
        </row>
        <row r="9">
          <cell r="B9">
            <v>7</v>
          </cell>
        </row>
        <row r="10">
          <cell r="B10">
            <v>15</v>
          </cell>
        </row>
        <row r="11">
          <cell r="B11">
            <v>35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6_stat_stem_AT_GC_freq_10"/>
    </sheetNames>
    <sheetDataSet>
      <sheetData sheetId="0">
        <row r="2">
          <cell r="B2">
            <v>202</v>
          </cell>
        </row>
        <row r="3">
          <cell r="B3">
            <v>22</v>
          </cell>
        </row>
        <row r="4">
          <cell r="B4">
            <v>17</v>
          </cell>
        </row>
        <row r="5">
          <cell r="B5">
            <v>15</v>
          </cell>
        </row>
        <row r="6">
          <cell r="B6">
            <v>19</v>
          </cell>
        </row>
        <row r="7">
          <cell r="B7">
            <v>12</v>
          </cell>
        </row>
        <row r="8">
          <cell r="B8">
            <v>10</v>
          </cell>
        </row>
        <row r="9">
          <cell r="B9">
            <v>8</v>
          </cell>
        </row>
        <row r="10">
          <cell r="B10">
            <v>17</v>
          </cell>
        </row>
        <row r="11">
          <cell r="B11">
            <v>59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7_stat_stem_AT_GC_freq_10"/>
    </sheetNames>
    <sheetDataSet>
      <sheetData sheetId="0">
        <row r="2">
          <cell r="B2">
            <v>163</v>
          </cell>
        </row>
        <row r="3">
          <cell r="B3">
            <v>23</v>
          </cell>
        </row>
        <row r="4">
          <cell r="B4">
            <v>16</v>
          </cell>
        </row>
        <row r="5">
          <cell r="B5">
            <v>14</v>
          </cell>
        </row>
        <row r="6">
          <cell r="B6">
            <v>11</v>
          </cell>
        </row>
        <row r="7">
          <cell r="B7">
            <v>5</v>
          </cell>
        </row>
        <row r="8">
          <cell r="B8">
            <v>9</v>
          </cell>
        </row>
        <row r="9">
          <cell r="B9">
            <v>9</v>
          </cell>
        </row>
        <row r="10">
          <cell r="B10">
            <v>14</v>
          </cell>
        </row>
        <row r="11">
          <cell r="B11">
            <v>45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GC_AT_freq_1"/>
    </sheetNames>
    <sheetDataSet>
      <sheetData sheetId="0">
        <row r="2">
          <cell r="B2">
            <v>767</v>
          </cell>
        </row>
        <row r="3">
          <cell r="B3">
            <v>117</v>
          </cell>
        </row>
        <row r="4">
          <cell r="B4">
            <v>69</v>
          </cell>
        </row>
        <row r="5">
          <cell r="B5">
            <v>50</v>
          </cell>
        </row>
        <row r="6">
          <cell r="B6">
            <v>45</v>
          </cell>
        </row>
        <row r="7">
          <cell r="B7">
            <v>27</v>
          </cell>
        </row>
        <row r="8">
          <cell r="B8">
            <v>30</v>
          </cell>
        </row>
        <row r="9">
          <cell r="B9">
            <v>31</v>
          </cell>
        </row>
        <row r="10">
          <cell r="B10">
            <v>32</v>
          </cell>
        </row>
        <row r="11">
          <cell r="B11">
            <v>118</v>
          </cell>
        </row>
      </sheetData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8_stat_stem_AT_GC_freq_10"/>
    </sheetNames>
    <sheetDataSet>
      <sheetData sheetId="0">
        <row r="2">
          <cell r="B2">
            <v>46</v>
          </cell>
        </row>
        <row r="3">
          <cell r="B3">
            <v>3</v>
          </cell>
        </row>
        <row r="4">
          <cell r="B4">
            <v>7</v>
          </cell>
        </row>
        <row r="5">
          <cell r="B5">
            <v>3</v>
          </cell>
        </row>
        <row r="6">
          <cell r="B6">
            <v>3</v>
          </cell>
        </row>
        <row r="7">
          <cell r="B7">
            <v>5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6</v>
          </cell>
        </row>
        <row r="11">
          <cell r="B11">
            <v>13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9_stat_stem_AT_GC_freq_10"/>
    </sheetNames>
    <sheetDataSet>
      <sheetData sheetId="0">
        <row r="2">
          <cell r="B2">
            <v>52</v>
          </cell>
        </row>
        <row r="3">
          <cell r="B3">
            <v>4</v>
          </cell>
        </row>
        <row r="4">
          <cell r="B4">
            <v>3</v>
          </cell>
        </row>
        <row r="5">
          <cell r="B5">
            <v>3</v>
          </cell>
        </row>
        <row r="6">
          <cell r="B6">
            <v>3</v>
          </cell>
        </row>
        <row r="7">
          <cell r="B7">
            <v>1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1</v>
          </cell>
        </row>
        <row r="11">
          <cell r="B11">
            <v>21</v>
          </cell>
        </row>
      </sheetData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0_stat_stem_AT_GC_freq_10"/>
    </sheetNames>
    <sheetDataSet>
      <sheetData sheetId="0">
        <row r="2">
          <cell r="B2">
            <v>49</v>
          </cell>
        </row>
        <row r="3">
          <cell r="B3">
            <v>11</v>
          </cell>
        </row>
        <row r="4">
          <cell r="B4">
            <v>1</v>
          </cell>
        </row>
        <row r="5">
          <cell r="B5">
            <v>3</v>
          </cell>
        </row>
        <row r="6">
          <cell r="B6">
            <v>2</v>
          </cell>
        </row>
        <row r="7">
          <cell r="B7">
            <v>6</v>
          </cell>
        </row>
        <row r="8">
          <cell r="B8">
            <v>8</v>
          </cell>
        </row>
        <row r="9">
          <cell r="B9">
            <v>5</v>
          </cell>
        </row>
        <row r="10">
          <cell r="B10">
            <v>8</v>
          </cell>
        </row>
        <row r="11">
          <cell r="B11">
            <v>14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1_stat_stem_AT_GC_freq_10"/>
    </sheetNames>
    <sheetDataSet>
      <sheetData sheetId="0">
        <row r="2">
          <cell r="B2">
            <v>57</v>
          </cell>
        </row>
        <row r="3">
          <cell r="B3">
            <v>10</v>
          </cell>
        </row>
        <row r="4">
          <cell r="B4">
            <v>5</v>
          </cell>
        </row>
        <row r="5">
          <cell r="B5">
            <v>7</v>
          </cell>
        </row>
        <row r="6">
          <cell r="B6">
            <v>5</v>
          </cell>
        </row>
        <row r="7">
          <cell r="B7">
            <v>5</v>
          </cell>
        </row>
        <row r="8">
          <cell r="B8">
            <v>4</v>
          </cell>
        </row>
        <row r="9">
          <cell r="B9">
            <v>1</v>
          </cell>
        </row>
        <row r="10">
          <cell r="B10">
            <v>2</v>
          </cell>
        </row>
        <row r="11">
          <cell r="B11">
            <v>10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2_stat_stem_AT_GC_freq_10"/>
    </sheetNames>
    <sheetDataSet>
      <sheetData sheetId="0">
        <row r="2">
          <cell r="B2">
            <v>74</v>
          </cell>
        </row>
        <row r="3">
          <cell r="B3">
            <v>8</v>
          </cell>
        </row>
        <row r="4">
          <cell r="B4">
            <v>5</v>
          </cell>
        </row>
        <row r="5">
          <cell r="B5">
            <v>5</v>
          </cell>
        </row>
        <row r="6">
          <cell r="B6">
            <v>8</v>
          </cell>
        </row>
        <row r="7">
          <cell r="B7">
            <v>1</v>
          </cell>
        </row>
        <row r="8">
          <cell r="B8">
            <v>6</v>
          </cell>
        </row>
        <row r="9">
          <cell r="B9">
            <v>5</v>
          </cell>
        </row>
        <row r="10">
          <cell r="B10">
            <v>8</v>
          </cell>
        </row>
        <row r="11">
          <cell r="B11">
            <v>17</v>
          </cell>
        </row>
      </sheetData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3_stat_stem_AT_GC_freq_10"/>
    </sheetNames>
    <sheetDataSet>
      <sheetData sheetId="0">
        <row r="2">
          <cell r="B2">
            <v>32</v>
          </cell>
        </row>
        <row r="3">
          <cell r="B3">
            <v>3</v>
          </cell>
        </row>
        <row r="4">
          <cell r="B4">
            <v>0</v>
          </cell>
        </row>
        <row r="5">
          <cell r="B5">
            <v>3</v>
          </cell>
        </row>
        <row r="6">
          <cell r="B6">
            <v>7</v>
          </cell>
        </row>
        <row r="7">
          <cell r="B7">
            <v>3</v>
          </cell>
        </row>
        <row r="8">
          <cell r="B8">
            <v>3</v>
          </cell>
        </row>
        <row r="9">
          <cell r="B9">
            <v>1</v>
          </cell>
        </row>
        <row r="10">
          <cell r="B10">
            <v>2</v>
          </cell>
        </row>
        <row r="11">
          <cell r="B11">
            <v>3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4_stat_stem_AT_GC_freq_10"/>
    </sheetNames>
    <sheetDataSet>
      <sheetData sheetId="0">
        <row r="2">
          <cell r="B2">
            <v>39</v>
          </cell>
        </row>
        <row r="3">
          <cell r="B3">
            <v>6</v>
          </cell>
        </row>
        <row r="4">
          <cell r="B4">
            <v>3</v>
          </cell>
        </row>
        <row r="5">
          <cell r="B5">
            <v>5</v>
          </cell>
        </row>
        <row r="6">
          <cell r="B6">
            <v>3</v>
          </cell>
        </row>
        <row r="7">
          <cell r="B7">
            <v>3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4</v>
          </cell>
        </row>
        <row r="11">
          <cell r="B11">
            <v>9</v>
          </cell>
        </row>
      </sheetData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5_stat_stem_AT_GC_freq_10"/>
    </sheetNames>
    <sheetDataSet>
      <sheetData sheetId="0">
        <row r="2">
          <cell r="B2">
            <v>140</v>
          </cell>
        </row>
        <row r="3">
          <cell r="B3">
            <v>26</v>
          </cell>
        </row>
        <row r="4">
          <cell r="B4">
            <v>24</v>
          </cell>
        </row>
        <row r="5">
          <cell r="B5">
            <v>12</v>
          </cell>
        </row>
        <row r="6">
          <cell r="B6">
            <v>15</v>
          </cell>
        </row>
        <row r="7">
          <cell r="B7">
            <v>3</v>
          </cell>
        </row>
        <row r="8">
          <cell r="B8">
            <v>8</v>
          </cell>
        </row>
        <row r="9">
          <cell r="B9">
            <v>12</v>
          </cell>
        </row>
        <row r="10">
          <cell r="B10">
            <v>7</v>
          </cell>
        </row>
        <row r="11">
          <cell r="B11">
            <v>44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6_stat_stem_AT_GC_freq_10"/>
    </sheetNames>
    <sheetDataSet>
      <sheetData sheetId="0">
        <row r="2">
          <cell r="B2">
            <v>62</v>
          </cell>
        </row>
        <row r="3">
          <cell r="B3">
            <v>5</v>
          </cell>
        </row>
        <row r="4">
          <cell r="B4">
            <v>6</v>
          </cell>
        </row>
        <row r="5">
          <cell r="B5">
            <v>6</v>
          </cell>
        </row>
        <row r="6">
          <cell r="B6">
            <v>8</v>
          </cell>
        </row>
        <row r="7">
          <cell r="B7">
            <v>2</v>
          </cell>
        </row>
        <row r="8">
          <cell r="B8">
            <v>4</v>
          </cell>
        </row>
        <row r="9">
          <cell r="B9">
            <v>5</v>
          </cell>
        </row>
        <row r="10">
          <cell r="B10">
            <v>6</v>
          </cell>
        </row>
        <row r="11">
          <cell r="B11">
            <v>16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7_stat_stem_AT_GC_freq_10"/>
    </sheetNames>
    <sheetDataSet>
      <sheetData sheetId="0">
        <row r="2">
          <cell r="B2">
            <v>22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2</v>
          </cell>
        </row>
        <row r="6">
          <cell r="B6">
            <v>6</v>
          </cell>
        </row>
        <row r="7">
          <cell r="B7">
            <v>3</v>
          </cell>
        </row>
        <row r="8">
          <cell r="B8">
            <v>4</v>
          </cell>
        </row>
        <row r="9">
          <cell r="B9">
            <v>0</v>
          </cell>
        </row>
        <row r="10">
          <cell r="B10">
            <v>3</v>
          </cell>
        </row>
        <row r="11">
          <cell r="B11">
            <v>13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GC_AT_freq_1"/>
    </sheetNames>
    <sheetDataSet>
      <sheetData sheetId="0">
        <row r="2">
          <cell r="B2">
            <v>446</v>
          </cell>
        </row>
        <row r="3">
          <cell r="B3">
            <v>74</v>
          </cell>
        </row>
        <row r="4">
          <cell r="B4">
            <v>49</v>
          </cell>
        </row>
        <row r="5">
          <cell r="B5">
            <v>36</v>
          </cell>
        </row>
        <row r="6">
          <cell r="B6">
            <v>29</v>
          </cell>
        </row>
        <row r="7">
          <cell r="B7">
            <v>34</v>
          </cell>
        </row>
        <row r="8">
          <cell r="B8">
            <v>29</v>
          </cell>
        </row>
        <row r="9">
          <cell r="B9">
            <v>29</v>
          </cell>
        </row>
        <row r="10">
          <cell r="B10">
            <v>23</v>
          </cell>
        </row>
        <row r="11">
          <cell r="B11">
            <v>77</v>
          </cell>
        </row>
      </sheetData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8_stat_stem_AT_GC_freq_10"/>
    </sheetNames>
    <sheetDataSet>
      <sheetData sheetId="0">
        <row r="2">
          <cell r="B2">
            <v>30</v>
          </cell>
        </row>
        <row r="3">
          <cell r="B3">
            <v>7</v>
          </cell>
        </row>
        <row r="4">
          <cell r="B4">
            <v>4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4</v>
          </cell>
        </row>
        <row r="11">
          <cell r="B11">
            <v>12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19_stat_stem_AT_GC_freq_10"/>
    </sheetNames>
    <sheetDataSet>
      <sheetData sheetId="0">
        <row r="2">
          <cell r="B2">
            <v>138</v>
          </cell>
        </row>
        <row r="3">
          <cell r="B3">
            <v>23</v>
          </cell>
        </row>
        <row r="4">
          <cell r="B4">
            <v>11</v>
          </cell>
        </row>
        <row r="5">
          <cell r="B5">
            <v>10</v>
          </cell>
        </row>
        <row r="6">
          <cell r="B6">
            <v>11</v>
          </cell>
        </row>
        <row r="7">
          <cell r="B7">
            <v>9</v>
          </cell>
        </row>
        <row r="8">
          <cell r="B8">
            <v>10</v>
          </cell>
        </row>
        <row r="9">
          <cell r="B9">
            <v>14</v>
          </cell>
        </row>
        <row r="10">
          <cell r="B10">
            <v>14</v>
          </cell>
        </row>
        <row r="11">
          <cell r="B11">
            <v>42</v>
          </cell>
        </row>
      </sheetData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0_stat_stem_AT_GC_freq_10"/>
    </sheetNames>
    <sheetDataSet>
      <sheetData sheetId="0">
        <row r="2">
          <cell r="B2">
            <v>44</v>
          </cell>
        </row>
        <row r="3">
          <cell r="B3">
            <v>7</v>
          </cell>
        </row>
        <row r="4">
          <cell r="B4">
            <v>2</v>
          </cell>
        </row>
        <row r="5">
          <cell r="B5">
            <v>6</v>
          </cell>
        </row>
        <row r="6">
          <cell r="B6">
            <v>3</v>
          </cell>
        </row>
        <row r="7">
          <cell r="B7">
            <v>0</v>
          </cell>
        </row>
        <row r="8">
          <cell r="B8">
            <v>3</v>
          </cell>
        </row>
        <row r="9">
          <cell r="B9">
            <v>3</v>
          </cell>
        </row>
        <row r="10">
          <cell r="B10">
            <v>1</v>
          </cell>
        </row>
        <row r="11">
          <cell r="B11">
            <v>17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1_stat_stem_AT_GC_freq_10"/>
    </sheetNames>
    <sheetDataSet>
      <sheetData sheetId="0">
        <row r="2">
          <cell r="B2">
            <v>47</v>
          </cell>
        </row>
        <row r="3">
          <cell r="B3">
            <v>5</v>
          </cell>
        </row>
        <row r="4">
          <cell r="B4">
            <v>2</v>
          </cell>
        </row>
        <row r="5">
          <cell r="B5">
            <v>5</v>
          </cell>
        </row>
        <row r="6">
          <cell r="B6">
            <v>2</v>
          </cell>
        </row>
        <row r="7">
          <cell r="B7">
            <v>2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4</v>
          </cell>
        </row>
        <row r="11">
          <cell r="B11">
            <v>12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2_stat_stem_AT_GC_freq_10"/>
    </sheetNames>
    <sheetDataSet>
      <sheetData sheetId="0">
        <row r="2">
          <cell r="B2">
            <v>68</v>
          </cell>
        </row>
        <row r="3">
          <cell r="B3">
            <v>4</v>
          </cell>
        </row>
        <row r="4">
          <cell r="B4">
            <v>3</v>
          </cell>
        </row>
        <row r="5">
          <cell r="B5">
            <v>9</v>
          </cell>
        </row>
        <row r="6">
          <cell r="B6">
            <v>11</v>
          </cell>
        </row>
        <row r="7">
          <cell r="B7">
            <v>4</v>
          </cell>
        </row>
        <row r="8">
          <cell r="B8">
            <v>4</v>
          </cell>
        </row>
        <row r="9">
          <cell r="B9">
            <v>3</v>
          </cell>
        </row>
        <row r="10">
          <cell r="B10">
            <v>3</v>
          </cell>
        </row>
        <row r="11">
          <cell r="B11">
            <v>20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3_stat_stem_AT_GC_freq_10"/>
    </sheetNames>
    <sheetDataSet>
      <sheetData sheetId="0">
        <row r="2">
          <cell r="B2">
            <v>84</v>
          </cell>
        </row>
        <row r="3">
          <cell r="B3">
            <v>15</v>
          </cell>
        </row>
        <row r="4">
          <cell r="B4">
            <v>6</v>
          </cell>
        </row>
        <row r="5">
          <cell r="B5">
            <v>6</v>
          </cell>
        </row>
        <row r="6">
          <cell r="B6">
            <v>4</v>
          </cell>
        </row>
        <row r="7">
          <cell r="B7">
            <v>4</v>
          </cell>
        </row>
        <row r="8">
          <cell r="B8">
            <v>3</v>
          </cell>
        </row>
        <row r="9">
          <cell r="B9">
            <v>1</v>
          </cell>
        </row>
        <row r="10">
          <cell r="B10">
            <v>6</v>
          </cell>
        </row>
        <row r="11">
          <cell r="B11">
            <v>17</v>
          </cell>
        </row>
      </sheetData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4_stat_stem_AT_GC_freq_10"/>
    </sheetNames>
    <sheetDataSet>
      <sheetData sheetId="0">
        <row r="2">
          <cell r="B2">
            <v>51</v>
          </cell>
        </row>
        <row r="3">
          <cell r="B3">
            <v>5</v>
          </cell>
        </row>
        <row r="4">
          <cell r="B4">
            <v>4</v>
          </cell>
        </row>
        <row r="5">
          <cell r="B5">
            <v>0</v>
          </cell>
        </row>
        <row r="6">
          <cell r="B6">
            <v>2</v>
          </cell>
        </row>
        <row r="7">
          <cell r="B7">
            <v>0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6</v>
          </cell>
        </row>
        <row r="11">
          <cell r="B11">
            <v>16</v>
          </cell>
        </row>
      </sheetData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5_stat_stem_AT_GC_freq_10"/>
    </sheetNames>
    <sheetDataSet>
      <sheetData sheetId="0">
        <row r="2">
          <cell r="B2">
            <v>75</v>
          </cell>
        </row>
        <row r="3">
          <cell r="B3">
            <v>15</v>
          </cell>
        </row>
        <row r="4">
          <cell r="B4">
            <v>10</v>
          </cell>
        </row>
        <row r="5">
          <cell r="B5">
            <v>8</v>
          </cell>
        </row>
        <row r="6">
          <cell r="B6">
            <v>3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9</v>
          </cell>
        </row>
        <row r="11">
          <cell r="B11">
            <v>23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6_stat_stem_AT_GC_freq_10"/>
    </sheetNames>
    <sheetDataSet>
      <sheetData sheetId="0">
        <row r="2">
          <cell r="B2">
            <v>21</v>
          </cell>
        </row>
        <row r="3">
          <cell r="B3">
            <v>8</v>
          </cell>
        </row>
        <row r="4">
          <cell r="B4">
            <v>6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0</v>
          </cell>
        </row>
        <row r="8">
          <cell r="B8">
            <v>1</v>
          </cell>
        </row>
        <row r="9">
          <cell r="B9">
            <v>4</v>
          </cell>
        </row>
        <row r="10">
          <cell r="B10">
            <v>2</v>
          </cell>
        </row>
        <row r="11">
          <cell r="B11">
            <v>9</v>
          </cell>
        </row>
      </sheetData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7_stat_stem_AT_GC_freq_10"/>
    </sheetNames>
    <sheetDataSet>
      <sheetData sheetId="0">
        <row r="2">
          <cell r="B2">
            <v>21</v>
          </cell>
        </row>
        <row r="3">
          <cell r="B3">
            <v>6</v>
          </cell>
        </row>
        <row r="4">
          <cell r="B4">
            <v>3</v>
          </cell>
        </row>
        <row r="5">
          <cell r="B5">
            <v>3</v>
          </cell>
        </row>
        <row r="6">
          <cell r="B6">
            <v>0</v>
          </cell>
        </row>
        <row r="7">
          <cell r="B7">
            <v>1</v>
          </cell>
        </row>
        <row r="8">
          <cell r="B8">
            <v>3</v>
          </cell>
        </row>
        <row r="9">
          <cell r="B9">
            <v>2</v>
          </cell>
        </row>
        <row r="10">
          <cell r="B10">
            <v>6</v>
          </cell>
        </row>
        <row r="11">
          <cell r="B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gene"/>
    </sheetNames>
    <sheetDataSet>
      <sheetData sheetId="0">
        <row r="2">
          <cell r="B2">
            <v>2078</v>
          </cell>
        </row>
        <row r="3">
          <cell r="B3">
            <v>2078</v>
          </cell>
        </row>
        <row r="4">
          <cell r="B4">
            <v>2062</v>
          </cell>
        </row>
        <row r="5">
          <cell r="B5">
            <v>1750</v>
          </cell>
        </row>
        <row r="6">
          <cell r="B6">
            <v>1929</v>
          </cell>
        </row>
        <row r="7">
          <cell r="B7">
            <v>1892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freq_10_chi_squar"/>
    </sheetNames>
    <sheetDataSet>
      <sheetData sheetId="0">
        <row r="2">
          <cell r="B2">
            <v>828</v>
          </cell>
          <cell r="C2">
            <v>767</v>
          </cell>
          <cell r="D2">
            <v>0.51912225705329196</v>
          </cell>
        </row>
        <row r="3">
          <cell r="B3">
            <v>791</v>
          </cell>
          <cell r="C3">
            <v>446</v>
          </cell>
          <cell r="D3">
            <v>0.63945028294260298</v>
          </cell>
          <cell r="E3">
            <v>41.195480216607002</v>
          </cell>
          <cell r="F3">
            <v>1.3774000000000001E-10</v>
          </cell>
        </row>
        <row r="4">
          <cell r="B4">
            <v>127</v>
          </cell>
          <cell r="C4">
            <v>117</v>
          </cell>
          <cell r="D4">
            <v>0.52049180327868805</v>
          </cell>
        </row>
        <row r="5">
          <cell r="B5">
            <v>133</v>
          </cell>
          <cell r="C5">
            <v>74</v>
          </cell>
          <cell r="D5">
            <v>0.64251207729468596</v>
          </cell>
          <cell r="E5">
            <v>6.8295799011483496</v>
          </cell>
          <cell r="F5">
            <v>8.966E-3</v>
          </cell>
        </row>
        <row r="6">
          <cell r="B6">
            <v>78</v>
          </cell>
          <cell r="C6">
            <v>69</v>
          </cell>
          <cell r="D6">
            <v>0.530612244897959</v>
          </cell>
        </row>
        <row r="7">
          <cell r="B7">
            <v>75</v>
          </cell>
          <cell r="C7">
            <v>49</v>
          </cell>
          <cell r="D7">
            <v>0.60483870967741904</v>
          </cell>
          <cell r="E7">
            <v>1.5074830096062499</v>
          </cell>
          <cell r="F7">
            <v>0.21951999999999999</v>
          </cell>
        </row>
        <row r="8">
          <cell r="B8">
            <v>54</v>
          </cell>
          <cell r="C8">
            <v>50</v>
          </cell>
          <cell r="D8">
            <v>0.51923076923076905</v>
          </cell>
        </row>
        <row r="9">
          <cell r="B9">
            <v>44</v>
          </cell>
          <cell r="C9">
            <v>36</v>
          </cell>
          <cell r="D9">
            <v>0.55000000000000004</v>
          </cell>
          <cell r="E9">
            <v>0.17196889489248299</v>
          </cell>
          <cell r="F9">
            <v>0.67837000000000003</v>
          </cell>
        </row>
        <row r="10">
          <cell r="B10">
            <v>55</v>
          </cell>
          <cell r="C10">
            <v>45</v>
          </cell>
          <cell r="D10">
            <v>0.55000000000000004</v>
          </cell>
        </row>
        <row r="11">
          <cell r="B11">
            <v>50</v>
          </cell>
          <cell r="C11">
            <v>29</v>
          </cell>
          <cell r="D11">
            <v>0.632911392405063</v>
          </cell>
          <cell r="E11">
            <v>1.25108702735285</v>
          </cell>
          <cell r="F11">
            <v>0.26334000000000002</v>
          </cell>
        </row>
        <row r="12">
          <cell r="B12">
            <v>37</v>
          </cell>
          <cell r="C12">
            <v>27</v>
          </cell>
          <cell r="D12">
            <v>0.578125</v>
          </cell>
        </row>
        <row r="13">
          <cell r="B13">
            <v>38</v>
          </cell>
          <cell r="C13">
            <v>34</v>
          </cell>
          <cell r="D13">
            <v>0.52777777777777801</v>
          </cell>
          <cell r="E13">
            <v>0.34722525804492999</v>
          </cell>
          <cell r="F13">
            <v>0.55569000000000002</v>
          </cell>
        </row>
        <row r="14">
          <cell r="B14">
            <v>35</v>
          </cell>
          <cell r="C14">
            <v>30</v>
          </cell>
          <cell r="D14">
            <v>0.53846153846153799</v>
          </cell>
        </row>
        <row r="15">
          <cell r="B15">
            <v>35</v>
          </cell>
          <cell r="C15">
            <v>29</v>
          </cell>
          <cell r="D15">
            <v>0.546875</v>
          </cell>
          <cell r="E15">
            <v>9.1977672750977995E-3</v>
          </cell>
          <cell r="F15">
            <v>0.92359999999999998</v>
          </cell>
        </row>
        <row r="16">
          <cell r="B16">
            <v>54</v>
          </cell>
          <cell r="C16">
            <v>31</v>
          </cell>
          <cell r="D16">
            <v>0.63529411764705901</v>
          </cell>
        </row>
        <row r="17">
          <cell r="B17">
            <v>32</v>
          </cell>
          <cell r="C17">
            <v>29</v>
          </cell>
          <cell r="D17">
            <v>0.52459016393442603</v>
          </cell>
          <cell r="E17">
            <v>1.79795235211889</v>
          </cell>
          <cell r="F17">
            <v>0.17996000000000001</v>
          </cell>
        </row>
        <row r="18">
          <cell r="B18">
            <v>61</v>
          </cell>
          <cell r="C18">
            <v>32</v>
          </cell>
          <cell r="D18">
            <v>0.65591397849462396</v>
          </cell>
        </row>
        <row r="19">
          <cell r="B19">
            <v>41</v>
          </cell>
          <cell r="C19">
            <v>23</v>
          </cell>
          <cell r="D19">
            <v>0.640625</v>
          </cell>
          <cell r="E19">
            <v>3.89364769612634E-2</v>
          </cell>
          <cell r="F19">
            <v>0.84357000000000004</v>
          </cell>
        </row>
        <row r="20">
          <cell r="B20">
            <v>167</v>
          </cell>
          <cell r="C20">
            <v>118</v>
          </cell>
          <cell r="D20">
            <v>0.58596491228070202</v>
          </cell>
        </row>
        <row r="21">
          <cell r="B21">
            <v>115</v>
          </cell>
          <cell r="C21">
            <v>77</v>
          </cell>
          <cell r="D21">
            <v>0.59895833333333304</v>
          </cell>
          <cell r="E21">
            <v>8.0136020544404898E-2</v>
          </cell>
          <cell r="F21">
            <v>0.77710999999999997</v>
          </cell>
        </row>
      </sheetData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8_stat_stem_AT_GC_freq_10"/>
    </sheetNames>
    <sheetDataSet>
      <sheetData sheetId="0">
        <row r="2">
          <cell r="B2">
            <v>134</v>
          </cell>
        </row>
        <row r="3">
          <cell r="B3">
            <v>18</v>
          </cell>
        </row>
        <row r="4">
          <cell r="B4">
            <v>15</v>
          </cell>
        </row>
        <row r="5">
          <cell r="B5">
            <v>7</v>
          </cell>
        </row>
        <row r="6">
          <cell r="B6">
            <v>11</v>
          </cell>
        </row>
        <row r="7">
          <cell r="B7">
            <v>8</v>
          </cell>
        </row>
        <row r="8">
          <cell r="B8">
            <v>9</v>
          </cell>
        </row>
        <row r="9">
          <cell r="B9">
            <v>10</v>
          </cell>
        </row>
        <row r="10">
          <cell r="B10">
            <v>16</v>
          </cell>
        </row>
        <row r="11">
          <cell r="B11">
            <v>41</v>
          </cell>
        </row>
      </sheetData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9_stat_stem_AT_GC_freq_10"/>
    </sheetNames>
    <sheetDataSet>
      <sheetData sheetId="0">
        <row r="2">
          <cell r="B2">
            <v>58</v>
          </cell>
        </row>
        <row r="3">
          <cell r="B3">
            <v>10</v>
          </cell>
        </row>
        <row r="4">
          <cell r="B4">
            <v>4</v>
          </cell>
        </row>
        <row r="5">
          <cell r="B5">
            <v>4</v>
          </cell>
        </row>
        <row r="6">
          <cell r="B6">
            <v>8</v>
          </cell>
        </row>
        <row r="7">
          <cell r="B7">
            <v>3</v>
          </cell>
        </row>
        <row r="8">
          <cell r="B8">
            <v>1</v>
          </cell>
        </row>
        <row r="9">
          <cell r="B9">
            <v>4</v>
          </cell>
        </row>
        <row r="10">
          <cell r="B10">
            <v>4</v>
          </cell>
        </row>
        <row r="11">
          <cell r="B11">
            <v>10</v>
          </cell>
        </row>
      </sheetData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30_stat_stem_AT_GC_freq_10"/>
    </sheetNames>
    <sheetDataSet>
      <sheetData sheetId="0">
        <row r="2">
          <cell r="B2">
            <v>50</v>
          </cell>
        </row>
        <row r="3">
          <cell r="B3">
            <v>9</v>
          </cell>
        </row>
        <row r="4">
          <cell r="B4">
            <v>0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4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6</v>
          </cell>
        </row>
        <row r="11">
          <cell r="B11">
            <v>19</v>
          </cell>
        </row>
      </sheetData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31_stat_stem_AT_GC_freq_10"/>
    </sheetNames>
    <sheetDataSet>
      <sheetData sheetId="0">
        <row r="2">
          <cell r="B2">
            <v>32</v>
          </cell>
        </row>
        <row r="3">
          <cell r="B3">
            <v>4</v>
          </cell>
        </row>
        <row r="4">
          <cell r="B4">
            <v>5</v>
          </cell>
        </row>
        <row r="5">
          <cell r="B5">
            <v>3</v>
          </cell>
        </row>
        <row r="6">
          <cell r="B6">
            <v>1</v>
          </cell>
        </row>
        <row r="7">
          <cell r="B7">
            <v>3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5</v>
          </cell>
        </row>
        <row r="11">
          <cell r="B11">
            <v>6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32_stat_stem_AT_GC_freq_10"/>
    </sheetNames>
    <sheetDataSet>
      <sheetData sheetId="0">
        <row r="2">
          <cell r="B2">
            <v>46</v>
          </cell>
        </row>
        <row r="3">
          <cell r="B3">
            <v>6</v>
          </cell>
        </row>
        <row r="4">
          <cell r="B4">
            <v>7</v>
          </cell>
        </row>
        <row r="5">
          <cell r="B5">
            <v>1</v>
          </cell>
        </row>
        <row r="6">
          <cell r="B6">
            <v>3</v>
          </cell>
        </row>
        <row r="7">
          <cell r="B7">
            <v>7</v>
          </cell>
        </row>
        <row r="8">
          <cell r="B8">
            <v>6</v>
          </cell>
        </row>
        <row r="9">
          <cell r="B9">
            <v>2</v>
          </cell>
        </row>
        <row r="10">
          <cell r="B10">
            <v>1</v>
          </cell>
        </row>
        <row r="11">
          <cell r="B11">
            <v>13</v>
          </cell>
        </row>
      </sheetData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1_stat_SNPs_freq_10"/>
    </sheetNames>
    <sheetDataSet>
      <sheetData sheetId="0">
        <row r="2">
          <cell r="B2">
            <v>236</v>
          </cell>
        </row>
        <row r="3">
          <cell r="B3">
            <v>24</v>
          </cell>
        </row>
        <row r="4">
          <cell r="B4">
            <v>10</v>
          </cell>
        </row>
        <row r="5">
          <cell r="B5">
            <v>23</v>
          </cell>
        </row>
        <row r="6">
          <cell r="B6">
            <v>8</v>
          </cell>
        </row>
        <row r="7">
          <cell r="B7">
            <v>11</v>
          </cell>
        </row>
        <row r="8">
          <cell r="B8">
            <v>5</v>
          </cell>
        </row>
        <row r="9">
          <cell r="B9">
            <v>10</v>
          </cell>
        </row>
        <row r="10">
          <cell r="B10">
            <v>10</v>
          </cell>
        </row>
        <row r="11">
          <cell r="B11">
            <v>162</v>
          </cell>
        </row>
      </sheetData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1_stat_gene_freq_10"/>
    </sheetNames>
    <sheetDataSet>
      <sheetData sheetId="0">
        <row r="2">
          <cell r="B2">
            <v>20</v>
          </cell>
        </row>
        <row r="3">
          <cell r="B3">
            <v>14</v>
          </cell>
        </row>
        <row r="4">
          <cell r="B4">
            <v>5</v>
          </cell>
        </row>
        <row r="5">
          <cell r="B5">
            <v>11</v>
          </cell>
        </row>
        <row r="6">
          <cell r="B6">
            <v>3</v>
          </cell>
        </row>
        <row r="7">
          <cell r="B7">
            <v>6</v>
          </cell>
        </row>
        <row r="8">
          <cell r="B8">
            <v>4</v>
          </cell>
        </row>
        <row r="9">
          <cell r="B9">
            <v>7</v>
          </cell>
        </row>
        <row r="10">
          <cell r="B10">
            <v>6</v>
          </cell>
        </row>
        <row r="11">
          <cell r="B11">
            <v>17</v>
          </cell>
        </row>
      </sheetData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0_stat_stem_freq_10"/>
    </sheetNames>
    <sheetDataSet>
      <sheetData sheetId="0">
        <row r="2">
          <cell r="B2">
            <v>131</v>
          </cell>
        </row>
        <row r="3">
          <cell r="B3">
            <v>20</v>
          </cell>
        </row>
        <row r="4">
          <cell r="B4">
            <v>10</v>
          </cell>
        </row>
        <row r="5">
          <cell r="B5">
            <v>8</v>
          </cell>
        </row>
        <row r="6">
          <cell r="B6">
            <v>8</v>
          </cell>
        </row>
        <row r="7">
          <cell r="B7">
            <v>1</v>
          </cell>
        </row>
        <row r="8">
          <cell r="B8">
            <v>6</v>
          </cell>
        </row>
        <row r="9">
          <cell r="B9">
            <v>5</v>
          </cell>
        </row>
        <row r="10">
          <cell r="B10">
            <v>5</v>
          </cell>
        </row>
        <row r="11">
          <cell r="B11">
            <v>20</v>
          </cell>
        </row>
      </sheetData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1_stat_loop_freq_10"/>
    </sheetNames>
    <sheetDataSet>
      <sheetData sheetId="0">
        <row r="2">
          <cell r="B2">
            <v>101</v>
          </cell>
        </row>
        <row r="3">
          <cell r="B3">
            <v>13</v>
          </cell>
        </row>
        <row r="4">
          <cell r="B4">
            <v>5</v>
          </cell>
        </row>
        <row r="5">
          <cell r="B5">
            <v>9</v>
          </cell>
        </row>
        <row r="6">
          <cell r="B6">
            <v>2</v>
          </cell>
        </row>
        <row r="7">
          <cell r="B7">
            <v>6</v>
          </cell>
        </row>
        <row r="8">
          <cell r="B8">
            <v>1</v>
          </cell>
        </row>
        <row r="9">
          <cell r="B9">
            <v>4</v>
          </cell>
        </row>
        <row r="10">
          <cell r="B10">
            <v>4</v>
          </cell>
        </row>
        <row r="11">
          <cell r="B11">
            <v>74</v>
          </cell>
        </row>
      </sheetData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0_stat_stem_AT_GC_freq_10"/>
    </sheetNames>
    <sheetDataSet>
      <sheetData sheetId="0">
        <row r="2">
          <cell r="B2">
            <v>51</v>
          </cell>
        </row>
        <row r="3">
          <cell r="B3">
            <v>7</v>
          </cell>
        </row>
        <row r="4">
          <cell r="B4">
            <v>2</v>
          </cell>
        </row>
        <row r="5">
          <cell r="B5">
            <v>7</v>
          </cell>
        </row>
        <row r="6">
          <cell r="B6">
            <v>2</v>
          </cell>
        </row>
        <row r="7">
          <cell r="B7">
            <v>0</v>
          </cell>
        </row>
        <row r="8">
          <cell r="B8">
            <v>3</v>
          </cell>
        </row>
        <row r="9">
          <cell r="B9">
            <v>3</v>
          </cell>
        </row>
        <row r="10">
          <cell r="B10">
            <v>3</v>
          </cell>
        </row>
        <row r="11">
          <cell r="B11">
            <v>15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NPs_freq_10"/>
    </sheetNames>
    <sheetDataSet>
      <sheetData sheetId="0">
        <row r="2">
          <cell r="B2">
            <v>8940</v>
          </cell>
        </row>
        <row r="3">
          <cell r="B3">
            <v>1892</v>
          </cell>
        </row>
        <row r="4">
          <cell r="B4">
            <v>1249</v>
          </cell>
        </row>
        <row r="5">
          <cell r="B5">
            <v>956</v>
          </cell>
        </row>
        <row r="6">
          <cell r="B6">
            <v>889</v>
          </cell>
        </row>
        <row r="7">
          <cell r="B7">
            <v>897</v>
          </cell>
        </row>
        <row r="8">
          <cell r="B8">
            <v>739</v>
          </cell>
        </row>
        <row r="9">
          <cell r="B9">
            <v>853</v>
          </cell>
        </row>
        <row r="10">
          <cell r="B10">
            <v>1035</v>
          </cell>
        </row>
        <row r="11">
          <cell r="B11">
            <v>2738</v>
          </cell>
        </row>
      </sheetData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1_stat_loop_AT_GC_freq_10"/>
    </sheetNames>
    <sheetDataSet>
      <sheetData sheetId="0">
        <row r="2">
          <cell r="B2">
            <v>53</v>
          </cell>
        </row>
        <row r="3">
          <cell r="B3">
            <v>7</v>
          </cell>
        </row>
        <row r="4">
          <cell r="B4">
            <v>1</v>
          </cell>
        </row>
        <row r="5">
          <cell r="B5">
            <v>3</v>
          </cell>
        </row>
        <row r="6">
          <cell r="B6">
            <v>1</v>
          </cell>
        </row>
        <row r="7">
          <cell r="B7">
            <v>2</v>
          </cell>
        </row>
        <row r="8">
          <cell r="B8">
            <v>1</v>
          </cell>
        </row>
        <row r="9">
          <cell r="B9">
            <v>2</v>
          </cell>
        </row>
        <row r="10">
          <cell r="B10">
            <v>2</v>
          </cell>
        </row>
        <row r="11">
          <cell r="B11">
            <v>31</v>
          </cell>
        </row>
      </sheetData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0_stat_stem_GC_AT_freq_10"/>
    </sheetNames>
    <sheetDataSet>
      <sheetData sheetId="0">
        <row r="2">
          <cell r="B2">
            <v>72</v>
          </cell>
        </row>
        <row r="3">
          <cell r="B3">
            <v>10</v>
          </cell>
        </row>
        <row r="4">
          <cell r="B4">
            <v>7</v>
          </cell>
        </row>
        <row r="5">
          <cell r="B5">
            <v>1</v>
          </cell>
        </row>
        <row r="6">
          <cell r="B6">
            <v>5</v>
          </cell>
        </row>
        <row r="7">
          <cell r="B7">
            <v>1</v>
          </cell>
        </row>
        <row r="8">
          <cell r="B8">
            <v>3</v>
          </cell>
        </row>
        <row r="9">
          <cell r="B9">
            <v>2</v>
          </cell>
        </row>
        <row r="10">
          <cell r="B10">
            <v>2</v>
          </cell>
        </row>
        <row r="11">
          <cell r="B11">
            <v>5</v>
          </cell>
        </row>
      </sheetData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_21_stat_loop_GC_AT_freq_10"/>
    </sheetNames>
    <sheetDataSet>
      <sheetData sheetId="0">
        <row r="2">
          <cell r="B2">
            <v>34</v>
          </cell>
        </row>
        <row r="3">
          <cell r="B3">
            <v>4</v>
          </cell>
        </row>
        <row r="4">
          <cell r="B4">
            <v>4</v>
          </cell>
        </row>
        <row r="5">
          <cell r="B5">
            <v>6</v>
          </cell>
        </row>
        <row r="6">
          <cell r="B6">
            <v>1</v>
          </cell>
        </row>
        <row r="7">
          <cell r="B7">
            <v>4</v>
          </cell>
        </row>
        <row r="8">
          <cell r="B8">
            <v>0</v>
          </cell>
        </row>
        <row r="9">
          <cell r="B9">
            <v>2</v>
          </cell>
        </row>
        <row r="10">
          <cell r="B10">
            <v>2</v>
          </cell>
        </row>
        <row r="11">
          <cell r="B11">
            <v>37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gene_freq_10"/>
    </sheetNames>
    <sheetDataSet>
      <sheetData sheetId="0">
        <row r="2">
          <cell r="B2">
            <v>1805</v>
          </cell>
        </row>
        <row r="3">
          <cell r="B3">
            <v>980</v>
          </cell>
        </row>
        <row r="4">
          <cell r="B4">
            <v>714</v>
          </cell>
        </row>
        <row r="5">
          <cell r="B5">
            <v>596</v>
          </cell>
        </row>
        <row r="6">
          <cell r="B6">
            <v>514</v>
          </cell>
        </row>
        <row r="7">
          <cell r="B7">
            <v>500</v>
          </cell>
        </row>
        <row r="8">
          <cell r="B8">
            <v>481</v>
          </cell>
        </row>
        <row r="9">
          <cell r="B9">
            <v>527</v>
          </cell>
        </row>
        <row r="10">
          <cell r="B10">
            <v>612</v>
          </cell>
        </row>
        <row r="11">
          <cell r="B11">
            <v>1209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freq_10"/>
    </sheetNames>
    <sheetDataSet>
      <sheetData sheetId="0">
        <row r="2">
          <cell r="B2">
            <v>5324</v>
          </cell>
        </row>
        <row r="3">
          <cell r="B3">
            <v>1116</v>
          </cell>
        </row>
        <row r="4">
          <cell r="B4">
            <v>733</v>
          </cell>
        </row>
        <row r="5">
          <cell r="B5">
            <v>559</v>
          </cell>
        </row>
        <row r="6">
          <cell r="B6">
            <v>527</v>
          </cell>
        </row>
        <row r="7">
          <cell r="B7">
            <v>536</v>
          </cell>
        </row>
        <row r="8">
          <cell r="B8">
            <v>458</v>
          </cell>
        </row>
        <row r="9">
          <cell r="B9">
            <v>501</v>
          </cell>
        </row>
        <row r="10">
          <cell r="B10">
            <v>625</v>
          </cell>
        </row>
        <row r="11">
          <cell r="B11">
            <v>1666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freq_10"/>
    </sheetNames>
    <sheetDataSet>
      <sheetData sheetId="0">
        <row r="2">
          <cell r="B2">
            <v>3616</v>
          </cell>
        </row>
        <row r="3">
          <cell r="B3">
            <v>776</v>
          </cell>
        </row>
        <row r="4">
          <cell r="B4">
            <v>516</v>
          </cell>
        </row>
        <row r="5">
          <cell r="B5">
            <v>397</v>
          </cell>
        </row>
        <row r="6">
          <cell r="B6">
            <v>362</v>
          </cell>
        </row>
        <row r="7">
          <cell r="B7">
            <v>361</v>
          </cell>
        </row>
        <row r="8">
          <cell r="B8">
            <v>281</v>
          </cell>
        </row>
        <row r="9">
          <cell r="B9">
            <v>352</v>
          </cell>
        </row>
        <row r="10">
          <cell r="B10">
            <v>410</v>
          </cell>
        </row>
        <row r="11">
          <cell r="B11">
            <v>1072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AT_GC_freq_1"/>
    </sheetNames>
    <sheetDataSet>
      <sheetData sheetId="0">
        <row r="2">
          <cell r="B2">
            <v>2269</v>
          </cell>
        </row>
        <row r="3">
          <cell r="B3">
            <v>534</v>
          </cell>
        </row>
        <row r="4">
          <cell r="B4">
            <v>370</v>
          </cell>
        </row>
        <row r="5">
          <cell r="B5">
            <v>285</v>
          </cell>
        </row>
        <row r="6">
          <cell r="B6">
            <v>273</v>
          </cell>
        </row>
        <row r="7">
          <cell r="B7">
            <v>305</v>
          </cell>
        </row>
        <row r="8">
          <cell r="B8">
            <v>235</v>
          </cell>
        </row>
        <row r="9">
          <cell r="B9">
            <v>264</v>
          </cell>
        </row>
        <row r="10">
          <cell r="B10">
            <v>363</v>
          </cell>
        </row>
        <row r="11">
          <cell r="B11">
            <v>1071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AT_GC_freq_1"/>
    </sheetNames>
    <sheetDataSet>
      <sheetData sheetId="0">
        <row r="2">
          <cell r="B2">
            <v>1846</v>
          </cell>
        </row>
        <row r="3">
          <cell r="B3">
            <v>418</v>
          </cell>
        </row>
        <row r="4">
          <cell r="B4">
            <v>285</v>
          </cell>
        </row>
        <row r="5">
          <cell r="B5">
            <v>216</v>
          </cell>
        </row>
        <row r="6">
          <cell r="B6">
            <v>186</v>
          </cell>
        </row>
        <row r="7">
          <cell r="B7">
            <v>189</v>
          </cell>
        </row>
        <row r="8">
          <cell r="B8">
            <v>129</v>
          </cell>
        </row>
        <row r="9">
          <cell r="B9">
            <v>157</v>
          </cell>
        </row>
        <row r="10">
          <cell r="B10">
            <v>218</v>
          </cell>
        </row>
        <row r="11">
          <cell r="B11">
            <v>618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GC_AT_freq_1"/>
    </sheetNames>
    <sheetDataSet>
      <sheetData sheetId="0">
        <row r="2">
          <cell r="B2">
            <v>2664</v>
          </cell>
        </row>
        <row r="3">
          <cell r="B3">
            <v>511</v>
          </cell>
        </row>
        <row r="4">
          <cell r="B4">
            <v>323</v>
          </cell>
        </row>
        <row r="5">
          <cell r="B5">
            <v>251</v>
          </cell>
        </row>
        <row r="6">
          <cell r="B6">
            <v>223</v>
          </cell>
        </row>
        <row r="7">
          <cell r="B7">
            <v>197</v>
          </cell>
        </row>
        <row r="8">
          <cell r="B8">
            <v>193</v>
          </cell>
        </row>
        <row r="9">
          <cell r="B9">
            <v>206</v>
          </cell>
        </row>
        <row r="10">
          <cell r="B10">
            <v>240</v>
          </cell>
        </row>
        <row r="11">
          <cell r="B11">
            <v>551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GC_AT_freq_1"/>
    </sheetNames>
    <sheetDataSet>
      <sheetData sheetId="0">
        <row r="2">
          <cell r="B2">
            <v>1523</v>
          </cell>
        </row>
        <row r="3">
          <cell r="B3">
            <v>305</v>
          </cell>
        </row>
        <row r="4">
          <cell r="B4">
            <v>201</v>
          </cell>
        </row>
        <row r="5">
          <cell r="B5">
            <v>167</v>
          </cell>
        </row>
        <row r="6">
          <cell r="B6">
            <v>160</v>
          </cell>
        </row>
        <row r="7">
          <cell r="B7">
            <v>157</v>
          </cell>
        </row>
        <row r="8">
          <cell r="B8">
            <v>137</v>
          </cell>
        </row>
        <row r="9">
          <cell r="B9">
            <v>177</v>
          </cell>
        </row>
        <row r="10">
          <cell r="B10">
            <v>172</v>
          </cell>
        </row>
        <row r="11">
          <cell r="B11">
            <v>418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freq_10_chi_squar"/>
    </sheetNames>
    <sheetDataSet>
      <sheetData sheetId="0">
        <row r="2">
          <cell r="B2">
            <v>2269</v>
          </cell>
          <cell r="C2">
            <v>2664</v>
          </cell>
          <cell r="D2">
            <v>0.459963511048044</v>
          </cell>
        </row>
        <row r="3">
          <cell r="B3">
            <v>1846</v>
          </cell>
          <cell r="C3">
            <v>1523</v>
          </cell>
          <cell r="D3">
            <v>0.54793707331552399</v>
          </cell>
          <cell r="E3">
            <v>61.976409287923701</v>
          </cell>
          <cell r="F3">
            <v>3.4760000000000001E-15</v>
          </cell>
        </row>
        <row r="4">
          <cell r="B4">
            <v>534</v>
          </cell>
          <cell r="C4">
            <v>511</v>
          </cell>
          <cell r="D4">
            <v>0.51100478468899502</v>
          </cell>
        </row>
        <row r="5">
          <cell r="B5">
            <v>418</v>
          </cell>
          <cell r="C5">
            <v>305</v>
          </cell>
          <cell r="D5">
            <v>0.57814661134163203</v>
          </cell>
          <cell r="E5">
            <v>7.7516837485389596</v>
          </cell>
          <cell r="F5">
            <v>5.3661999999999998E-3</v>
          </cell>
        </row>
        <row r="6">
          <cell r="B6">
            <v>370</v>
          </cell>
          <cell r="C6">
            <v>323</v>
          </cell>
          <cell r="D6">
            <v>0.533910533910534</v>
          </cell>
        </row>
        <row r="7">
          <cell r="B7">
            <v>285</v>
          </cell>
          <cell r="C7">
            <v>201</v>
          </cell>
          <cell r="D7">
            <v>0.58641975308642003</v>
          </cell>
          <cell r="E7">
            <v>3.18993506493507</v>
          </cell>
          <cell r="F7">
            <v>7.4093000000000006E-2</v>
          </cell>
        </row>
        <row r="8">
          <cell r="B8">
            <v>285</v>
          </cell>
          <cell r="C8">
            <v>251</v>
          </cell>
          <cell r="D8">
            <v>0.53171641791044799</v>
          </cell>
        </row>
        <row r="9">
          <cell r="B9">
            <v>216</v>
          </cell>
          <cell r="C9">
            <v>167</v>
          </cell>
          <cell r="D9">
            <v>0.56396866840731097</v>
          </cell>
          <cell r="E9">
            <v>0.93709822625567696</v>
          </cell>
          <cell r="F9">
            <v>0.33302999999999999</v>
          </cell>
        </row>
        <row r="10">
          <cell r="B10">
            <v>273</v>
          </cell>
          <cell r="C10">
            <v>223</v>
          </cell>
          <cell r="D10">
            <v>0.55040322580645196</v>
          </cell>
        </row>
        <row r="11">
          <cell r="B11">
            <v>186</v>
          </cell>
          <cell r="C11">
            <v>160</v>
          </cell>
          <cell r="D11">
            <v>0.53757225433526001</v>
          </cell>
          <cell r="E11">
            <v>0.135324828689868</v>
          </cell>
          <cell r="F11">
            <v>0.71296999999999999</v>
          </cell>
        </row>
        <row r="12">
          <cell r="B12">
            <v>305</v>
          </cell>
          <cell r="C12">
            <v>197</v>
          </cell>
          <cell r="D12">
            <v>0.60756972111553798</v>
          </cell>
        </row>
        <row r="13">
          <cell r="B13">
            <v>189</v>
          </cell>
          <cell r="C13">
            <v>157</v>
          </cell>
          <cell r="D13">
            <v>0.54624277456647397</v>
          </cell>
          <cell r="E13">
            <v>3.1677298781722598</v>
          </cell>
          <cell r="F13">
            <v>7.5106999999999993E-2</v>
          </cell>
        </row>
        <row r="14">
          <cell r="B14">
            <v>235</v>
          </cell>
          <cell r="C14">
            <v>193</v>
          </cell>
          <cell r="D14">
            <v>0.54906542056074803</v>
          </cell>
        </row>
        <row r="15">
          <cell r="B15">
            <v>129</v>
          </cell>
          <cell r="C15">
            <v>137</v>
          </cell>
          <cell r="D15">
            <v>0.48496240601503798</v>
          </cell>
          <cell r="E15">
            <v>2.7028780994612598</v>
          </cell>
          <cell r="F15">
            <v>0.10017</v>
          </cell>
        </row>
        <row r="16">
          <cell r="B16">
            <v>264</v>
          </cell>
          <cell r="C16">
            <v>206</v>
          </cell>
          <cell r="D16">
            <v>0.56170212765957495</v>
          </cell>
        </row>
        <row r="17">
          <cell r="B17">
            <v>157</v>
          </cell>
          <cell r="C17">
            <v>177</v>
          </cell>
          <cell r="D17">
            <v>0.470059880239521</v>
          </cell>
          <cell r="E17">
            <v>6.5737164316804497</v>
          </cell>
          <cell r="F17">
            <v>1.035E-2</v>
          </cell>
        </row>
        <row r="18">
          <cell r="B18">
            <v>363</v>
          </cell>
          <cell r="C18">
            <v>240</v>
          </cell>
          <cell r="D18">
            <v>0.60199004975124404</v>
          </cell>
        </row>
        <row r="19">
          <cell r="B19">
            <v>218</v>
          </cell>
          <cell r="C19">
            <v>172</v>
          </cell>
          <cell r="D19">
            <v>0.55897435897435899</v>
          </cell>
          <cell r="E19">
            <v>1.8051430443145999</v>
          </cell>
          <cell r="F19">
            <v>0.17909</v>
          </cell>
        </row>
        <row r="20">
          <cell r="B20">
            <v>1071</v>
          </cell>
          <cell r="C20">
            <v>551</v>
          </cell>
          <cell r="D20">
            <v>0.66029593094944505</v>
          </cell>
        </row>
        <row r="21">
          <cell r="B21">
            <v>618</v>
          </cell>
          <cell r="C21">
            <v>418</v>
          </cell>
          <cell r="D21">
            <v>0.596525096525097</v>
          </cell>
          <cell r="E21">
            <v>11.098297302679899</v>
          </cell>
          <cell r="F21">
            <v>8.6406999999999999E-4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NPs_freq_10"/>
    </sheetNames>
    <sheetDataSet>
      <sheetData sheetId="0">
        <row r="2">
          <cell r="B2">
            <v>21542</v>
          </cell>
        </row>
        <row r="3">
          <cell r="B3">
            <v>3409</v>
          </cell>
        </row>
        <row r="4">
          <cell r="B4">
            <v>2018</v>
          </cell>
        </row>
        <row r="5">
          <cell r="B5">
            <v>1419</v>
          </cell>
        </row>
        <row r="6">
          <cell r="B6">
            <v>1344</v>
          </cell>
        </row>
        <row r="7">
          <cell r="B7">
            <v>1265</v>
          </cell>
        </row>
        <row r="8">
          <cell r="B8">
            <v>990</v>
          </cell>
        </row>
        <row r="9">
          <cell r="B9">
            <v>1131</v>
          </cell>
        </row>
        <row r="10">
          <cell r="B10">
            <v>1383</v>
          </cell>
        </row>
        <row r="11">
          <cell r="B11">
            <v>3508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NPs_freq_10"/>
    </sheetNames>
    <sheetDataSet>
      <sheetData sheetId="0">
        <row r="2">
          <cell r="B2">
            <v>11193</v>
          </cell>
        </row>
        <row r="3">
          <cell r="B3">
            <v>1299</v>
          </cell>
        </row>
        <row r="4">
          <cell r="B4">
            <v>669</v>
          </cell>
        </row>
        <row r="5">
          <cell r="B5">
            <v>390</v>
          </cell>
        </row>
        <row r="6">
          <cell r="B6">
            <v>380</v>
          </cell>
        </row>
        <row r="7">
          <cell r="B7">
            <v>300</v>
          </cell>
        </row>
        <row r="8">
          <cell r="B8">
            <v>211</v>
          </cell>
        </row>
        <row r="9">
          <cell r="B9">
            <v>234</v>
          </cell>
        </row>
        <row r="10">
          <cell r="B10">
            <v>262</v>
          </cell>
        </row>
        <row r="11">
          <cell r="B11">
            <v>566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gene_freq_10"/>
    </sheetNames>
    <sheetDataSet>
      <sheetData sheetId="0">
        <row r="2">
          <cell r="B2">
            <v>1835</v>
          </cell>
        </row>
        <row r="3">
          <cell r="B3">
            <v>800</v>
          </cell>
        </row>
        <row r="4">
          <cell r="B4">
            <v>477</v>
          </cell>
        </row>
        <row r="5">
          <cell r="B5">
            <v>324</v>
          </cell>
        </row>
        <row r="6">
          <cell r="B6">
            <v>280</v>
          </cell>
        </row>
        <row r="7">
          <cell r="B7">
            <v>243</v>
          </cell>
        </row>
        <row r="8">
          <cell r="B8">
            <v>168</v>
          </cell>
        </row>
        <row r="9">
          <cell r="B9">
            <v>192</v>
          </cell>
        </row>
        <row r="10">
          <cell r="B10">
            <v>209</v>
          </cell>
        </row>
        <row r="11">
          <cell r="B11">
            <v>408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freq_10"/>
    </sheetNames>
    <sheetDataSet>
      <sheetData sheetId="0">
        <row r="2">
          <cell r="B2">
            <v>6724</v>
          </cell>
        </row>
        <row r="3">
          <cell r="B3">
            <v>796</v>
          </cell>
        </row>
        <row r="4">
          <cell r="B4">
            <v>400</v>
          </cell>
        </row>
        <row r="5">
          <cell r="B5">
            <v>221</v>
          </cell>
        </row>
        <row r="6">
          <cell r="B6">
            <v>233</v>
          </cell>
        </row>
        <row r="7">
          <cell r="B7">
            <v>161</v>
          </cell>
        </row>
        <row r="8">
          <cell r="B8">
            <v>134</v>
          </cell>
        </row>
        <row r="9">
          <cell r="B9">
            <v>150</v>
          </cell>
        </row>
        <row r="10">
          <cell r="B10">
            <v>147</v>
          </cell>
        </row>
        <row r="11">
          <cell r="B11">
            <v>346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_freq_10"/>
    </sheetNames>
    <sheetDataSet>
      <sheetData sheetId="0">
        <row r="2">
          <cell r="B2">
            <v>4469</v>
          </cell>
        </row>
        <row r="3">
          <cell r="B3">
            <v>503</v>
          </cell>
        </row>
        <row r="4">
          <cell r="B4">
            <v>269</v>
          </cell>
        </row>
        <row r="5">
          <cell r="B5">
            <v>169</v>
          </cell>
        </row>
        <row r="6">
          <cell r="B6">
            <v>147</v>
          </cell>
        </row>
        <row r="7">
          <cell r="B7">
            <v>139</v>
          </cell>
        </row>
        <row r="8">
          <cell r="B8">
            <v>77</v>
          </cell>
        </row>
        <row r="9">
          <cell r="B9">
            <v>84</v>
          </cell>
        </row>
        <row r="10">
          <cell r="B10">
            <v>115</v>
          </cell>
        </row>
        <row r="11">
          <cell r="B11">
            <v>220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AT_GC_freq_1"/>
    </sheetNames>
    <sheetDataSet>
      <sheetData sheetId="0">
        <row r="2">
          <cell r="B2">
            <v>2027</v>
          </cell>
        </row>
        <row r="3">
          <cell r="B3">
            <v>238</v>
          </cell>
        </row>
        <row r="4">
          <cell r="B4">
            <v>136</v>
          </cell>
        </row>
        <row r="5">
          <cell r="B5">
            <v>85</v>
          </cell>
        </row>
        <row r="6">
          <cell r="B6">
            <v>112</v>
          </cell>
        </row>
        <row r="7">
          <cell r="B7">
            <v>68</v>
          </cell>
        </row>
        <row r="8">
          <cell r="B8">
            <v>65</v>
          </cell>
        </row>
        <row r="9">
          <cell r="B9">
            <v>66</v>
          </cell>
        </row>
        <row r="10">
          <cell r="B10">
            <v>75</v>
          </cell>
        </row>
        <row r="11">
          <cell r="B11">
            <v>211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_AT_GC_freq_1"/>
    </sheetNames>
    <sheetDataSet>
      <sheetData sheetId="0">
        <row r="2">
          <cell r="B2">
            <v>1958</v>
          </cell>
        </row>
        <row r="3">
          <cell r="B3">
            <v>236</v>
          </cell>
        </row>
        <row r="4">
          <cell r="B4">
            <v>139</v>
          </cell>
        </row>
        <row r="5">
          <cell r="B5">
            <v>73</v>
          </cell>
        </row>
        <row r="6">
          <cell r="B6">
            <v>72</v>
          </cell>
        </row>
        <row r="7">
          <cell r="B7">
            <v>49</v>
          </cell>
        </row>
        <row r="8">
          <cell r="B8">
            <v>30</v>
          </cell>
        </row>
        <row r="9">
          <cell r="B9">
            <v>35</v>
          </cell>
        </row>
        <row r="10">
          <cell r="B10">
            <v>52</v>
          </cell>
        </row>
        <row r="11">
          <cell r="B11">
            <v>116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GC_AT_freq_1"/>
    </sheetNames>
    <sheetDataSet>
      <sheetData sheetId="0">
        <row r="2">
          <cell r="B2">
            <v>3684</v>
          </cell>
        </row>
        <row r="3">
          <cell r="B3">
            <v>429</v>
          </cell>
        </row>
        <row r="4">
          <cell r="B4">
            <v>211</v>
          </cell>
        </row>
        <row r="5">
          <cell r="B5">
            <v>110</v>
          </cell>
        </row>
        <row r="6">
          <cell r="B6">
            <v>91</v>
          </cell>
        </row>
        <row r="7">
          <cell r="B7">
            <v>68</v>
          </cell>
        </row>
        <row r="8">
          <cell r="B8">
            <v>48</v>
          </cell>
        </row>
        <row r="9">
          <cell r="B9">
            <v>66</v>
          </cell>
        </row>
        <row r="10">
          <cell r="B10">
            <v>60</v>
          </cell>
        </row>
        <row r="11">
          <cell r="B11">
            <v>97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_GC_AT_freq_1"/>
    </sheetNames>
    <sheetDataSet>
      <sheetData sheetId="0">
        <row r="2">
          <cell r="B2">
            <v>1769</v>
          </cell>
        </row>
        <row r="3">
          <cell r="B3">
            <v>193</v>
          </cell>
        </row>
        <row r="4">
          <cell r="B4">
            <v>95</v>
          </cell>
        </row>
        <row r="5">
          <cell r="B5">
            <v>66</v>
          </cell>
        </row>
        <row r="6">
          <cell r="B6">
            <v>56</v>
          </cell>
        </row>
        <row r="7">
          <cell r="B7">
            <v>68</v>
          </cell>
        </row>
        <row r="8">
          <cell r="B8">
            <v>33</v>
          </cell>
        </row>
        <row r="9">
          <cell r="B9">
            <v>35</v>
          </cell>
        </row>
        <row r="10">
          <cell r="B10">
            <v>57</v>
          </cell>
        </row>
        <row r="11">
          <cell r="B11">
            <v>86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freq_10_chi_squar"/>
    </sheetNames>
    <sheetDataSet>
      <sheetData sheetId="0">
        <row r="2">
          <cell r="B2">
            <v>2027</v>
          </cell>
          <cell r="C2">
            <v>3684</v>
          </cell>
          <cell r="D2">
            <v>0.354929084223428</v>
          </cell>
        </row>
        <row r="3">
          <cell r="B3">
            <v>1958</v>
          </cell>
          <cell r="C3">
            <v>1769</v>
          </cell>
          <cell r="D3">
            <v>0.52535551381808399</v>
          </cell>
          <cell r="E3">
            <v>268.51069822316998</v>
          </cell>
          <cell r="F3">
            <v>2.3961000000000001E-60</v>
          </cell>
        </row>
        <row r="4">
          <cell r="B4">
            <v>238</v>
          </cell>
          <cell r="C4">
            <v>429</v>
          </cell>
          <cell r="D4">
            <v>0.35682158920539703</v>
          </cell>
        </row>
        <row r="5">
          <cell r="B5">
            <v>236</v>
          </cell>
          <cell r="C5">
            <v>193</v>
          </cell>
          <cell r="D5">
            <v>0.55011655011655003</v>
          </cell>
          <cell r="E5">
            <v>39.743491593890198</v>
          </cell>
          <cell r="F5">
            <v>2.8960000000000001E-10</v>
          </cell>
        </row>
        <row r="6">
          <cell r="B6">
            <v>136</v>
          </cell>
          <cell r="C6">
            <v>211</v>
          </cell>
          <cell r="D6">
            <v>0.39193083573486998</v>
          </cell>
        </row>
        <row r="7">
          <cell r="B7">
            <v>139</v>
          </cell>
          <cell r="C7">
            <v>95</v>
          </cell>
          <cell r="D7">
            <v>0.59401709401709402</v>
          </cell>
          <cell r="E7">
            <v>22.895013814152101</v>
          </cell>
          <cell r="F7">
            <v>1.711E-6</v>
          </cell>
        </row>
        <row r="8">
          <cell r="B8">
            <v>85</v>
          </cell>
          <cell r="C8">
            <v>110</v>
          </cell>
          <cell r="D8">
            <v>0.43589743589743601</v>
          </cell>
        </row>
        <row r="9">
          <cell r="B9">
            <v>73</v>
          </cell>
          <cell r="C9">
            <v>66</v>
          </cell>
          <cell r="D9">
            <v>0.52517985611510798</v>
          </cell>
          <cell r="E9">
            <v>2.5951235117067002</v>
          </cell>
          <cell r="F9">
            <v>0.10718999999999999</v>
          </cell>
        </row>
        <row r="10">
          <cell r="B10">
            <v>112</v>
          </cell>
          <cell r="C10">
            <v>91</v>
          </cell>
          <cell r="D10">
            <v>0.55172413793103403</v>
          </cell>
        </row>
        <row r="11">
          <cell r="B11">
            <v>72</v>
          </cell>
          <cell r="C11">
            <v>56</v>
          </cell>
          <cell r="D11">
            <v>0.5625</v>
          </cell>
          <cell r="E11">
            <v>3.69235025344469E-2</v>
          </cell>
          <cell r="F11">
            <v>0.84762000000000004</v>
          </cell>
        </row>
        <row r="12">
          <cell r="B12">
            <v>68</v>
          </cell>
          <cell r="C12">
            <v>68</v>
          </cell>
          <cell r="D12">
            <v>0.5</v>
          </cell>
        </row>
        <row r="13">
          <cell r="B13">
            <v>49</v>
          </cell>
          <cell r="C13">
            <v>68</v>
          </cell>
          <cell r="D13">
            <v>0.41880341880341898</v>
          </cell>
          <cell r="E13">
            <v>1.66799985389729</v>
          </cell>
          <cell r="F13">
            <v>0.19653000000000001</v>
          </cell>
        </row>
        <row r="14">
          <cell r="B14">
            <v>65</v>
          </cell>
          <cell r="C14">
            <v>48</v>
          </cell>
          <cell r="D14">
            <v>0.57522123893805299</v>
          </cell>
        </row>
        <row r="15">
          <cell r="B15">
            <v>30</v>
          </cell>
          <cell r="C15">
            <v>33</v>
          </cell>
          <cell r="D15">
            <v>0.476190476190476</v>
          </cell>
          <cell r="E15">
            <v>1.5968469190018599</v>
          </cell>
          <cell r="F15">
            <v>0.20635000000000001</v>
          </cell>
        </row>
        <row r="16">
          <cell r="B16">
            <v>66</v>
          </cell>
          <cell r="C16">
            <v>66</v>
          </cell>
          <cell r="D16">
            <v>0.5</v>
          </cell>
        </row>
        <row r="17">
          <cell r="B17">
            <v>35</v>
          </cell>
          <cell r="C17">
            <v>35</v>
          </cell>
          <cell r="D17">
            <v>0.5</v>
          </cell>
          <cell r="E17">
            <v>0</v>
          </cell>
          <cell r="F17">
            <v>1</v>
          </cell>
        </row>
        <row r="18">
          <cell r="B18">
            <v>75</v>
          </cell>
          <cell r="C18">
            <v>60</v>
          </cell>
          <cell r="D18">
            <v>0.55555555555555602</v>
          </cell>
        </row>
        <row r="19">
          <cell r="B19">
            <v>52</v>
          </cell>
          <cell r="C19">
            <v>57</v>
          </cell>
          <cell r="D19">
            <v>0.47706422018348599</v>
          </cell>
          <cell r="E19">
            <v>1.48868888448459</v>
          </cell>
          <cell r="F19">
            <v>0.22242000000000001</v>
          </cell>
        </row>
        <row r="20">
          <cell r="B20">
            <v>211</v>
          </cell>
          <cell r="C20">
            <v>97</v>
          </cell>
          <cell r="D20">
            <v>0.68506493506493504</v>
          </cell>
        </row>
        <row r="21">
          <cell r="B21">
            <v>116</v>
          </cell>
          <cell r="C21">
            <v>86</v>
          </cell>
          <cell r="D21">
            <v>0.57425742574257399</v>
          </cell>
          <cell r="E21">
            <v>6.5104619629829301</v>
          </cell>
          <cell r="F21">
            <v>1.0723999999999999E-2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4D_stat_SNPs_freq_10"/>
    </sheetNames>
    <sheetDataSet>
      <sheetData sheetId="0">
        <row r="2">
          <cell r="B2">
            <v>2817</v>
          </cell>
        </row>
        <row r="3">
          <cell r="B3">
            <v>583</v>
          </cell>
        </row>
        <row r="4">
          <cell r="B4">
            <v>353</v>
          </cell>
        </row>
        <row r="5">
          <cell r="B5">
            <v>284</v>
          </cell>
        </row>
        <row r="6">
          <cell r="B6">
            <v>285</v>
          </cell>
        </row>
        <row r="7">
          <cell r="B7">
            <v>241</v>
          </cell>
        </row>
        <row r="8">
          <cell r="B8">
            <v>203</v>
          </cell>
        </row>
        <row r="9">
          <cell r="B9">
            <v>235</v>
          </cell>
        </row>
        <row r="10">
          <cell r="B10">
            <v>305</v>
          </cell>
        </row>
        <row r="11">
          <cell r="B11">
            <v>780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gene_freq_10"/>
    </sheetNames>
    <sheetDataSet>
      <sheetData sheetId="0">
        <row r="2">
          <cell r="B2">
            <v>2039</v>
          </cell>
        </row>
        <row r="3">
          <cell r="B3">
            <v>1363</v>
          </cell>
        </row>
        <row r="4">
          <cell r="B4">
            <v>998</v>
          </cell>
        </row>
        <row r="5">
          <cell r="B5">
            <v>815</v>
          </cell>
        </row>
        <row r="6">
          <cell r="B6">
            <v>696</v>
          </cell>
        </row>
        <row r="7">
          <cell r="B7">
            <v>647</v>
          </cell>
        </row>
        <row r="8">
          <cell r="B8">
            <v>599</v>
          </cell>
        </row>
        <row r="9">
          <cell r="B9">
            <v>640</v>
          </cell>
        </row>
        <row r="10">
          <cell r="B10">
            <v>741</v>
          </cell>
        </row>
        <row r="11">
          <cell r="B11">
            <v>1383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4D_stat_gene_freq_10"/>
    </sheetNames>
    <sheetDataSet>
      <sheetData sheetId="0">
        <row r="2">
          <cell r="B2">
            <v>1329</v>
          </cell>
        </row>
        <row r="3">
          <cell r="B3">
            <v>460</v>
          </cell>
        </row>
        <row r="4">
          <cell r="B4">
            <v>294</v>
          </cell>
        </row>
        <row r="5">
          <cell r="B5">
            <v>237</v>
          </cell>
        </row>
        <row r="6">
          <cell r="B6">
            <v>233</v>
          </cell>
        </row>
        <row r="7">
          <cell r="B7">
            <v>204</v>
          </cell>
        </row>
        <row r="8">
          <cell r="B8">
            <v>180</v>
          </cell>
        </row>
        <row r="9">
          <cell r="B9">
            <v>195</v>
          </cell>
        </row>
        <row r="10">
          <cell r="B10">
            <v>258</v>
          </cell>
        </row>
        <row r="11">
          <cell r="B11">
            <v>568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4D_stat_stem_freq_10"/>
    </sheetNames>
    <sheetDataSet>
      <sheetData sheetId="0">
        <row r="2">
          <cell r="B2">
            <v>1792</v>
          </cell>
        </row>
        <row r="3">
          <cell r="B3">
            <v>371</v>
          </cell>
        </row>
        <row r="4">
          <cell r="B4">
            <v>214</v>
          </cell>
        </row>
        <row r="5">
          <cell r="B5">
            <v>179</v>
          </cell>
        </row>
        <row r="6">
          <cell r="B6">
            <v>199</v>
          </cell>
        </row>
        <row r="7">
          <cell r="B7">
            <v>160</v>
          </cell>
        </row>
        <row r="8">
          <cell r="B8">
            <v>133</v>
          </cell>
        </row>
        <row r="9">
          <cell r="B9">
            <v>159</v>
          </cell>
        </row>
        <row r="10">
          <cell r="B10">
            <v>183</v>
          </cell>
        </row>
        <row r="11">
          <cell r="B11">
            <v>493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4D_stat_loop_freq_10"/>
    </sheetNames>
    <sheetDataSet>
      <sheetData sheetId="0">
        <row r="2">
          <cell r="B2">
            <v>1025</v>
          </cell>
        </row>
        <row r="3">
          <cell r="B3">
            <v>212</v>
          </cell>
        </row>
        <row r="4">
          <cell r="B4">
            <v>139</v>
          </cell>
        </row>
        <row r="5">
          <cell r="B5">
            <v>105</v>
          </cell>
        </row>
        <row r="6">
          <cell r="B6">
            <v>86</v>
          </cell>
        </row>
        <row r="7">
          <cell r="B7">
            <v>81</v>
          </cell>
        </row>
        <row r="8">
          <cell r="B8">
            <v>70</v>
          </cell>
        </row>
        <row r="9">
          <cell r="B9">
            <v>76</v>
          </cell>
        </row>
        <row r="10">
          <cell r="B10">
            <v>122</v>
          </cell>
        </row>
        <row r="11">
          <cell r="B11">
            <v>287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4D_stat_stem_AT_GC_freq_10"/>
    </sheetNames>
    <sheetDataSet>
      <sheetData sheetId="0">
        <row r="2">
          <cell r="B2">
            <v>770</v>
          </cell>
        </row>
        <row r="3">
          <cell r="B3">
            <v>174</v>
          </cell>
        </row>
        <row r="4">
          <cell r="B4">
            <v>99</v>
          </cell>
        </row>
        <row r="5">
          <cell r="B5">
            <v>88</v>
          </cell>
        </row>
        <row r="6">
          <cell r="B6">
            <v>101</v>
          </cell>
        </row>
        <row r="7">
          <cell r="B7">
            <v>92</v>
          </cell>
        </row>
        <row r="8">
          <cell r="B8">
            <v>64</v>
          </cell>
        </row>
        <row r="9">
          <cell r="B9">
            <v>78</v>
          </cell>
        </row>
        <row r="10">
          <cell r="B10">
            <v>104</v>
          </cell>
        </row>
        <row r="11">
          <cell r="B11">
            <v>301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4D_stat_loop_AT_GC_freq_10"/>
    </sheetNames>
    <sheetDataSet>
      <sheetData sheetId="0">
        <row r="2">
          <cell r="B2">
            <v>530</v>
          </cell>
        </row>
        <row r="3">
          <cell r="B3">
            <v>114</v>
          </cell>
        </row>
        <row r="4">
          <cell r="B4">
            <v>73</v>
          </cell>
        </row>
        <row r="5">
          <cell r="B5">
            <v>66</v>
          </cell>
        </row>
        <row r="6">
          <cell r="B6">
            <v>42</v>
          </cell>
        </row>
        <row r="7">
          <cell r="B7">
            <v>43</v>
          </cell>
        </row>
        <row r="8">
          <cell r="B8">
            <v>22</v>
          </cell>
        </row>
        <row r="9">
          <cell r="B9">
            <v>32</v>
          </cell>
        </row>
        <row r="10">
          <cell r="B10">
            <v>60</v>
          </cell>
        </row>
        <row r="11">
          <cell r="B11">
            <v>157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4D_stat_stem_GC_AT_freq_10"/>
    </sheetNames>
    <sheetDataSet>
      <sheetData sheetId="0">
        <row r="2">
          <cell r="B2">
            <v>756</v>
          </cell>
        </row>
        <row r="3">
          <cell r="B3">
            <v>149</v>
          </cell>
        </row>
        <row r="4">
          <cell r="B4">
            <v>91</v>
          </cell>
        </row>
        <row r="5">
          <cell r="B5">
            <v>75</v>
          </cell>
        </row>
        <row r="6">
          <cell r="B6">
            <v>71</v>
          </cell>
        </row>
        <row r="7">
          <cell r="B7">
            <v>46</v>
          </cell>
        </row>
        <row r="8">
          <cell r="B8">
            <v>54</v>
          </cell>
        </row>
        <row r="9">
          <cell r="B9">
            <v>60</v>
          </cell>
        </row>
        <row r="10">
          <cell r="B10">
            <v>65</v>
          </cell>
        </row>
        <row r="11">
          <cell r="B11">
            <v>161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4D_stat_loop_GC_AT_freq_10"/>
    </sheetNames>
    <sheetDataSet>
      <sheetData sheetId="0">
        <row r="2">
          <cell r="B2">
            <v>341</v>
          </cell>
        </row>
        <row r="3">
          <cell r="B3">
            <v>60</v>
          </cell>
        </row>
        <row r="4">
          <cell r="B4">
            <v>45</v>
          </cell>
        </row>
        <row r="5">
          <cell r="B5">
            <v>31</v>
          </cell>
        </row>
        <row r="6">
          <cell r="B6">
            <v>32</v>
          </cell>
        </row>
        <row r="7">
          <cell r="B7">
            <v>30</v>
          </cell>
        </row>
        <row r="8">
          <cell r="B8">
            <v>39</v>
          </cell>
        </row>
        <row r="9">
          <cell r="B9">
            <v>32</v>
          </cell>
        </row>
        <row r="10">
          <cell r="B10">
            <v>47</v>
          </cell>
        </row>
        <row r="11">
          <cell r="B11">
            <v>103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4D_stat_freq_10_chi_square"/>
    </sheetNames>
    <sheetDataSet>
      <sheetData sheetId="0">
        <row r="2">
          <cell r="B2">
            <v>770</v>
          </cell>
          <cell r="C2">
            <v>756</v>
          </cell>
          <cell r="D2">
            <v>0.50458715596330295</v>
          </cell>
        </row>
        <row r="3">
          <cell r="B3">
            <v>530</v>
          </cell>
          <cell r="C3">
            <v>341</v>
          </cell>
          <cell r="D3">
            <v>0.60849598163031005</v>
          </cell>
          <cell r="E3">
            <v>24.121017072540699</v>
          </cell>
          <cell r="F3">
            <v>9.0467999999999997E-7</v>
          </cell>
        </row>
        <row r="4">
          <cell r="B4">
            <v>174</v>
          </cell>
          <cell r="C4">
            <v>149</v>
          </cell>
          <cell r="D4">
            <v>0.538699690402477</v>
          </cell>
        </row>
        <row r="5">
          <cell r="B5">
            <v>114</v>
          </cell>
          <cell r="C5">
            <v>60</v>
          </cell>
          <cell r="D5">
            <v>0.65517241379310298</v>
          </cell>
          <cell r="E5">
            <v>6.2953205129514904</v>
          </cell>
          <cell r="F5">
            <v>1.2106E-2</v>
          </cell>
        </row>
        <row r="6">
          <cell r="B6">
            <v>99</v>
          </cell>
          <cell r="C6">
            <v>91</v>
          </cell>
          <cell r="D6">
            <v>0.52105263157894699</v>
          </cell>
        </row>
        <row r="7">
          <cell r="B7">
            <v>73</v>
          </cell>
          <cell r="C7">
            <v>45</v>
          </cell>
          <cell r="D7">
            <v>0.61864406779660996</v>
          </cell>
          <cell r="E7">
            <v>2.8115278399806698</v>
          </cell>
          <cell r="F7">
            <v>9.3589000000000006E-2</v>
          </cell>
        </row>
        <row r="8">
          <cell r="B8">
            <v>88</v>
          </cell>
          <cell r="C8">
            <v>75</v>
          </cell>
          <cell r="D8">
            <v>0.53987730061349704</v>
          </cell>
        </row>
        <row r="9">
          <cell r="B9">
            <v>66</v>
          </cell>
          <cell r="C9">
            <v>31</v>
          </cell>
          <cell r="D9">
            <v>0.68041237113402098</v>
          </cell>
          <cell r="E9">
            <v>4.9736535739473702</v>
          </cell>
          <cell r="F9">
            <v>2.5735999999999998E-2</v>
          </cell>
        </row>
        <row r="10">
          <cell r="B10">
            <v>101</v>
          </cell>
          <cell r="C10">
            <v>71</v>
          </cell>
          <cell r="D10">
            <v>0.587209302325581</v>
          </cell>
        </row>
        <row r="11">
          <cell r="B11">
            <v>42</v>
          </cell>
          <cell r="C11">
            <v>32</v>
          </cell>
          <cell r="D11">
            <v>0.56756756756756799</v>
          </cell>
          <cell r="E11">
            <v>8.2012810619719503E-2</v>
          </cell>
          <cell r="F11">
            <v>0.77459</v>
          </cell>
        </row>
        <row r="12">
          <cell r="B12">
            <v>92</v>
          </cell>
          <cell r="C12">
            <v>46</v>
          </cell>
          <cell r="D12">
            <v>0.66666666666666696</v>
          </cell>
        </row>
        <row r="13">
          <cell r="B13">
            <v>43</v>
          </cell>
          <cell r="C13">
            <v>30</v>
          </cell>
          <cell r="D13">
            <v>0.58904109589041098</v>
          </cell>
          <cell r="E13">
            <v>1.24837957399842</v>
          </cell>
          <cell r="F13">
            <v>0.26385999999999998</v>
          </cell>
        </row>
        <row r="14">
          <cell r="B14">
            <v>64</v>
          </cell>
          <cell r="C14">
            <v>54</v>
          </cell>
          <cell r="D14">
            <v>0.54237288135593198</v>
          </cell>
        </row>
        <row r="15">
          <cell r="B15">
            <v>22</v>
          </cell>
          <cell r="C15">
            <v>39</v>
          </cell>
          <cell r="D15">
            <v>0.36065573770491799</v>
          </cell>
          <cell r="E15">
            <v>5.3195546733307397</v>
          </cell>
          <cell r="F15">
            <v>2.1087000000000002E-2</v>
          </cell>
        </row>
        <row r="16">
          <cell r="B16">
            <v>78</v>
          </cell>
          <cell r="C16">
            <v>60</v>
          </cell>
          <cell r="D16">
            <v>0.565217391304348</v>
          </cell>
        </row>
        <row r="17">
          <cell r="B17">
            <v>32</v>
          </cell>
          <cell r="C17">
            <v>32</v>
          </cell>
          <cell r="D17">
            <v>0.5</v>
          </cell>
          <cell r="E17">
            <v>0.74981955662485</v>
          </cell>
          <cell r="F17">
            <v>0.38652999999999998</v>
          </cell>
        </row>
        <row r="18">
          <cell r="B18">
            <v>104</v>
          </cell>
          <cell r="C18">
            <v>65</v>
          </cell>
          <cell r="D18">
            <v>0.61538461538461497</v>
          </cell>
        </row>
        <row r="19">
          <cell r="B19">
            <v>60</v>
          </cell>
          <cell r="C19">
            <v>47</v>
          </cell>
          <cell r="D19">
            <v>0.56074766355140204</v>
          </cell>
          <cell r="E19">
            <v>0.81113028753785499</v>
          </cell>
          <cell r="F19">
            <v>0.36779000000000001</v>
          </cell>
        </row>
        <row r="20">
          <cell r="B20">
            <v>301</v>
          </cell>
          <cell r="C20">
            <v>161</v>
          </cell>
          <cell r="D20">
            <v>0.65151515151515105</v>
          </cell>
        </row>
        <row r="21">
          <cell r="B21">
            <v>157</v>
          </cell>
          <cell r="C21">
            <v>103</v>
          </cell>
          <cell r="D21">
            <v>0.60384615384615403</v>
          </cell>
          <cell r="E21">
            <v>1.6298782207823499</v>
          </cell>
          <cell r="F21">
            <v>0.20172000000000001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tRNA_stat_SNPs_freq_10"/>
    </sheetNames>
    <sheetDataSet>
      <sheetData sheetId="0">
        <row r="2">
          <cell r="B2">
            <v>4712</v>
          </cell>
        </row>
        <row r="3">
          <cell r="B3">
            <v>996</v>
          </cell>
        </row>
        <row r="4">
          <cell r="B4">
            <v>660</v>
          </cell>
        </row>
        <row r="5">
          <cell r="B5">
            <v>499</v>
          </cell>
        </row>
        <row r="6">
          <cell r="B6">
            <v>463</v>
          </cell>
        </row>
        <row r="7">
          <cell r="B7">
            <v>469</v>
          </cell>
        </row>
        <row r="8">
          <cell r="B8">
            <v>391</v>
          </cell>
        </row>
        <row r="9">
          <cell r="B9">
            <v>434</v>
          </cell>
        </row>
        <row r="10">
          <cell r="B10">
            <v>573</v>
          </cell>
        </row>
        <row r="11">
          <cell r="B11">
            <v>1534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tRNA_stat_gene_freq_10"/>
    </sheetNames>
    <sheetDataSet>
      <sheetData sheetId="0">
        <row r="2">
          <cell r="B2">
            <v>1577</v>
          </cell>
        </row>
        <row r="3">
          <cell r="B3">
            <v>672</v>
          </cell>
        </row>
        <row r="4">
          <cell r="B4">
            <v>468</v>
          </cell>
        </row>
        <row r="5">
          <cell r="B5">
            <v>383</v>
          </cell>
        </row>
        <row r="6">
          <cell r="B6">
            <v>333</v>
          </cell>
        </row>
        <row r="7">
          <cell r="B7">
            <v>339</v>
          </cell>
        </row>
        <row r="8">
          <cell r="B8">
            <v>298</v>
          </cell>
        </row>
        <row r="9">
          <cell r="B9">
            <v>339</v>
          </cell>
        </row>
        <row r="10">
          <cell r="B10">
            <v>406</v>
          </cell>
        </row>
        <row r="11">
          <cell r="B11">
            <v>886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freq_10"/>
    </sheetNames>
    <sheetDataSet>
      <sheetData sheetId="0">
        <row r="2">
          <cell r="B2">
            <v>12926</v>
          </cell>
        </row>
        <row r="3">
          <cell r="B3">
            <v>2030</v>
          </cell>
        </row>
        <row r="4">
          <cell r="B4">
            <v>1193</v>
          </cell>
        </row>
        <row r="5">
          <cell r="B5">
            <v>829</v>
          </cell>
        </row>
        <row r="6">
          <cell r="B6">
            <v>804</v>
          </cell>
        </row>
        <row r="7">
          <cell r="B7">
            <v>742</v>
          </cell>
        </row>
        <row r="8">
          <cell r="B8">
            <v>614</v>
          </cell>
        </row>
        <row r="9">
          <cell r="B9">
            <v>676</v>
          </cell>
        </row>
        <row r="10">
          <cell r="B10">
            <v>830</v>
          </cell>
        </row>
        <row r="11">
          <cell r="B11">
            <v>2138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tRNA_stat_stem_freq_10"/>
    </sheetNames>
    <sheetDataSet>
      <sheetData sheetId="0">
        <row r="2">
          <cell r="B2">
            <v>2822</v>
          </cell>
        </row>
        <row r="3">
          <cell r="B3">
            <v>606</v>
          </cell>
        </row>
        <row r="4">
          <cell r="B4">
            <v>379</v>
          </cell>
        </row>
        <row r="5">
          <cell r="B5">
            <v>300</v>
          </cell>
        </row>
        <row r="6">
          <cell r="B6">
            <v>282</v>
          </cell>
        </row>
        <row r="7">
          <cell r="B7">
            <v>282</v>
          </cell>
        </row>
        <row r="8">
          <cell r="B8">
            <v>237</v>
          </cell>
        </row>
        <row r="9">
          <cell r="B9">
            <v>256</v>
          </cell>
        </row>
        <row r="10">
          <cell r="B10">
            <v>355</v>
          </cell>
        </row>
        <row r="11">
          <cell r="B11">
            <v>956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tRNA_stat_loop_freq_10"/>
    </sheetNames>
    <sheetDataSet>
      <sheetData sheetId="0">
        <row r="2">
          <cell r="B2">
            <v>1890</v>
          </cell>
        </row>
        <row r="3">
          <cell r="B3">
            <v>390</v>
          </cell>
        </row>
        <row r="4">
          <cell r="B4">
            <v>281</v>
          </cell>
        </row>
        <row r="5">
          <cell r="B5">
            <v>199</v>
          </cell>
        </row>
        <row r="6">
          <cell r="B6">
            <v>181</v>
          </cell>
        </row>
        <row r="7">
          <cell r="B7">
            <v>187</v>
          </cell>
        </row>
        <row r="8">
          <cell r="B8">
            <v>154</v>
          </cell>
        </row>
        <row r="9">
          <cell r="B9">
            <v>178</v>
          </cell>
        </row>
        <row r="10">
          <cell r="B10">
            <v>218</v>
          </cell>
        </row>
        <row r="11">
          <cell r="B11">
            <v>578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tRNA_stat_stem_AT_GC_freq_"/>
    </sheetNames>
    <sheetDataSet>
      <sheetData sheetId="0">
        <row r="2">
          <cell r="B2">
            <v>1223</v>
          </cell>
        </row>
        <row r="3">
          <cell r="B3">
            <v>312</v>
          </cell>
        </row>
        <row r="4">
          <cell r="B4">
            <v>195</v>
          </cell>
        </row>
        <row r="5">
          <cell r="B5">
            <v>155</v>
          </cell>
        </row>
        <row r="6">
          <cell r="B6">
            <v>150</v>
          </cell>
        </row>
        <row r="7">
          <cell r="B7">
            <v>165</v>
          </cell>
        </row>
        <row r="8">
          <cell r="B8">
            <v>117</v>
          </cell>
        </row>
        <row r="9">
          <cell r="B9">
            <v>134</v>
          </cell>
        </row>
        <row r="10">
          <cell r="B10">
            <v>210</v>
          </cell>
        </row>
        <row r="11">
          <cell r="B11">
            <v>642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tRNA_stat_loop_AT_GC_freq_"/>
    </sheetNames>
    <sheetDataSet>
      <sheetData sheetId="0">
        <row r="2">
          <cell r="B2">
            <v>950</v>
          </cell>
        </row>
        <row r="3">
          <cell r="B3">
            <v>212</v>
          </cell>
        </row>
        <row r="4">
          <cell r="B4">
            <v>156</v>
          </cell>
        </row>
        <row r="5">
          <cell r="B5">
            <v>110</v>
          </cell>
        </row>
        <row r="6">
          <cell r="B6">
            <v>96</v>
          </cell>
        </row>
        <row r="7">
          <cell r="B7">
            <v>101</v>
          </cell>
        </row>
        <row r="8">
          <cell r="B8">
            <v>72</v>
          </cell>
        </row>
        <row r="9">
          <cell r="B9">
            <v>86</v>
          </cell>
        </row>
        <row r="10">
          <cell r="B10">
            <v>116</v>
          </cell>
        </row>
        <row r="11">
          <cell r="B11">
            <v>342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tRNA_stat_stem_GC_AT_freq_"/>
    </sheetNames>
    <sheetDataSet>
      <sheetData sheetId="0">
        <row r="2">
          <cell r="B2">
            <v>1470</v>
          </cell>
        </row>
        <row r="3">
          <cell r="B3">
            <v>272</v>
          </cell>
        </row>
        <row r="4">
          <cell r="B4">
            <v>171</v>
          </cell>
        </row>
        <row r="5">
          <cell r="B5">
            <v>132</v>
          </cell>
        </row>
        <row r="6">
          <cell r="B6">
            <v>123</v>
          </cell>
        </row>
        <row r="7">
          <cell r="B7">
            <v>105</v>
          </cell>
        </row>
        <row r="8">
          <cell r="B8">
            <v>114</v>
          </cell>
        </row>
        <row r="9">
          <cell r="B9">
            <v>110</v>
          </cell>
        </row>
        <row r="10">
          <cell r="B10">
            <v>139</v>
          </cell>
        </row>
        <row r="11">
          <cell r="B11">
            <v>301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tRNA_stat_loop_GC_AT_freq_"/>
    </sheetNames>
    <sheetDataSet>
      <sheetData sheetId="0">
        <row r="2">
          <cell r="B2">
            <v>840</v>
          </cell>
        </row>
        <row r="3">
          <cell r="B3">
            <v>157</v>
          </cell>
        </row>
        <row r="4">
          <cell r="B4">
            <v>113</v>
          </cell>
        </row>
        <row r="5">
          <cell r="B5">
            <v>83</v>
          </cell>
        </row>
        <row r="6">
          <cell r="B6">
            <v>81</v>
          </cell>
        </row>
        <row r="7">
          <cell r="B7">
            <v>82</v>
          </cell>
        </row>
        <row r="8">
          <cell r="B8">
            <v>75</v>
          </cell>
        </row>
        <row r="9">
          <cell r="B9">
            <v>86</v>
          </cell>
        </row>
        <row r="10">
          <cell r="B10">
            <v>97</v>
          </cell>
        </row>
        <row r="11">
          <cell r="B11">
            <v>223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tRNA_stat_freq_10_chi_squa"/>
    </sheetNames>
    <sheetDataSet>
      <sheetData sheetId="0">
        <row r="2">
          <cell r="B2">
            <v>1223</v>
          </cell>
          <cell r="C2">
            <v>1470</v>
          </cell>
          <cell r="D2">
            <v>0.45414036390642398</v>
          </cell>
        </row>
        <row r="3">
          <cell r="B3">
            <v>950</v>
          </cell>
          <cell r="C3">
            <v>840</v>
          </cell>
          <cell r="D3">
            <v>0.53072625698324005</v>
          </cell>
          <cell r="E3">
            <v>25.251313815429</v>
          </cell>
          <cell r="F3">
            <v>5.0325000000000001E-7</v>
          </cell>
        </row>
        <row r="4">
          <cell r="B4">
            <v>312</v>
          </cell>
          <cell r="C4">
            <v>272</v>
          </cell>
          <cell r="D4">
            <v>0.534246575342466</v>
          </cell>
        </row>
        <row r="5">
          <cell r="B5">
            <v>212</v>
          </cell>
          <cell r="C5">
            <v>157</v>
          </cell>
          <cell r="D5">
            <v>0.57452574525745304</v>
          </cell>
          <cell r="E5">
            <v>1.4821923197190701</v>
          </cell>
          <cell r="F5">
            <v>0.22342999999999999</v>
          </cell>
        </row>
        <row r="6">
          <cell r="B6">
            <v>195</v>
          </cell>
          <cell r="C6">
            <v>171</v>
          </cell>
          <cell r="D6">
            <v>0.53278688524590201</v>
          </cell>
        </row>
        <row r="7">
          <cell r="B7">
            <v>156</v>
          </cell>
          <cell r="C7">
            <v>113</v>
          </cell>
          <cell r="D7">
            <v>0.57992565055762102</v>
          </cell>
          <cell r="E7">
            <v>1.39359968731614</v>
          </cell>
          <cell r="F7">
            <v>0.23780000000000001</v>
          </cell>
        </row>
        <row r="8">
          <cell r="B8">
            <v>155</v>
          </cell>
          <cell r="C8">
            <v>132</v>
          </cell>
          <cell r="D8">
            <v>0.54006968641115005</v>
          </cell>
        </row>
        <row r="9">
          <cell r="B9">
            <v>110</v>
          </cell>
          <cell r="C9">
            <v>83</v>
          </cell>
          <cell r="D9">
            <v>0.56994818652849699</v>
          </cell>
          <cell r="E9">
            <v>0.41659465543169599</v>
          </cell>
          <cell r="F9">
            <v>0.51863999999999999</v>
          </cell>
        </row>
        <row r="10">
          <cell r="B10">
            <v>150</v>
          </cell>
          <cell r="C10">
            <v>123</v>
          </cell>
          <cell r="D10">
            <v>0.54945054945054905</v>
          </cell>
        </row>
        <row r="11">
          <cell r="B11">
            <v>96</v>
          </cell>
          <cell r="C11">
            <v>81</v>
          </cell>
          <cell r="D11">
            <v>0.54237288135593198</v>
          </cell>
          <cell r="E11">
            <v>2.17051873059462E-2</v>
          </cell>
          <cell r="F11">
            <v>0.88287000000000004</v>
          </cell>
        </row>
        <row r="12">
          <cell r="B12">
            <v>165</v>
          </cell>
          <cell r="C12">
            <v>105</v>
          </cell>
          <cell r="D12">
            <v>0.61111111111111105</v>
          </cell>
        </row>
        <row r="13">
          <cell r="B13">
            <v>101</v>
          </cell>
          <cell r="C13">
            <v>82</v>
          </cell>
          <cell r="D13">
            <v>0.55191256830601099</v>
          </cell>
          <cell r="E13">
            <v>1.5769279317343099</v>
          </cell>
          <cell r="F13">
            <v>0.2092</v>
          </cell>
        </row>
        <row r="14">
          <cell r="B14">
            <v>117</v>
          </cell>
          <cell r="C14">
            <v>114</v>
          </cell>
          <cell r="D14">
            <v>0.506493506493506</v>
          </cell>
        </row>
        <row r="15">
          <cell r="B15">
            <v>72</v>
          </cell>
          <cell r="C15">
            <v>75</v>
          </cell>
          <cell r="D15">
            <v>0.48979591836734698</v>
          </cell>
          <cell r="E15">
            <v>0.10018552875695701</v>
          </cell>
          <cell r="F15">
            <v>0.75161</v>
          </cell>
        </row>
        <row r="16">
          <cell r="B16">
            <v>134</v>
          </cell>
          <cell r="C16">
            <v>110</v>
          </cell>
          <cell r="D16">
            <v>0.54918032786885296</v>
          </cell>
        </row>
        <row r="17">
          <cell r="B17">
            <v>86</v>
          </cell>
          <cell r="C17">
            <v>86</v>
          </cell>
          <cell r="D17">
            <v>0.5</v>
          </cell>
          <cell r="E17">
            <v>0.97929985705161504</v>
          </cell>
          <cell r="F17">
            <v>0.32236999999999999</v>
          </cell>
        </row>
        <row r="18">
          <cell r="B18">
            <v>210</v>
          </cell>
          <cell r="C18">
            <v>139</v>
          </cell>
          <cell r="D18">
            <v>0.60171919770773596</v>
          </cell>
        </row>
        <row r="19">
          <cell r="B19">
            <v>116</v>
          </cell>
          <cell r="C19">
            <v>97</v>
          </cell>
          <cell r="D19">
            <v>0.54460093896713602</v>
          </cell>
          <cell r="E19">
            <v>1.77158364297955</v>
          </cell>
          <cell r="F19">
            <v>0.18318999999999999</v>
          </cell>
        </row>
        <row r="20">
          <cell r="B20">
            <v>642</v>
          </cell>
          <cell r="C20">
            <v>301</v>
          </cell>
          <cell r="D20">
            <v>0.68080593849416804</v>
          </cell>
        </row>
        <row r="21">
          <cell r="B21">
            <v>342</v>
          </cell>
          <cell r="C21">
            <v>223</v>
          </cell>
          <cell r="D21">
            <v>0.60530973451327397</v>
          </cell>
          <cell r="E21">
            <v>8.8814797016822506</v>
          </cell>
          <cell r="F21">
            <v>2.8808000000000002E-3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"/>
    </sheetNames>
    <sheetDataSet>
      <sheetData sheetId="0">
        <row r="2">
          <cell r="B2">
            <v>1665</v>
          </cell>
          <cell r="C2">
            <v>2296</v>
          </cell>
        </row>
        <row r="3">
          <cell r="B3">
            <v>1362</v>
          </cell>
          <cell r="C3">
            <v>1253</v>
          </cell>
        </row>
        <row r="4">
          <cell r="B4">
            <v>662</v>
          </cell>
          <cell r="C4">
            <v>1048</v>
          </cell>
        </row>
        <row r="5">
          <cell r="B5">
            <v>571</v>
          </cell>
          <cell r="C5">
            <v>496</v>
          </cell>
        </row>
        <row r="6">
          <cell r="B6">
            <v>533</v>
          </cell>
          <cell r="C6">
            <v>828</v>
          </cell>
        </row>
        <row r="7">
          <cell r="B7">
            <v>495</v>
          </cell>
          <cell r="C7">
            <v>417</v>
          </cell>
        </row>
        <row r="8">
          <cell r="B8">
            <v>364</v>
          </cell>
          <cell r="C8">
            <v>532</v>
          </cell>
        </row>
        <row r="9">
          <cell r="B9">
            <v>293</v>
          </cell>
          <cell r="C9">
            <v>262</v>
          </cell>
        </row>
        <row r="10">
          <cell r="B10">
            <v>235</v>
          </cell>
          <cell r="C10">
            <v>368</v>
          </cell>
        </row>
        <row r="11">
          <cell r="B11">
            <v>238</v>
          </cell>
          <cell r="C11">
            <v>219</v>
          </cell>
        </row>
        <row r="12">
          <cell r="B12">
            <v>272</v>
          </cell>
          <cell r="C12">
            <v>435</v>
          </cell>
        </row>
        <row r="13">
          <cell r="B13">
            <v>251</v>
          </cell>
          <cell r="C13">
            <v>224</v>
          </cell>
        </row>
        <row r="14">
          <cell r="B14">
            <v>174</v>
          </cell>
          <cell r="C14">
            <v>279</v>
          </cell>
        </row>
        <row r="15">
          <cell r="B15">
            <v>185</v>
          </cell>
          <cell r="C15">
            <v>142</v>
          </cell>
        </row>
        <row r="16">
          <cell r="B16">
            <v>175</v>
          </cell>
          <cell r="C16">
            <v>247</v>
          </cell>
        </row>
        <row r="17">
          <cell r="B17">
            <v>153</v>
          </cell>
          <cell r="C17">
            <v>134</v>
          </cell>
        </row>
        <row r="18">
          <cell r="B18">
            <v>178</v>
          </cell>
          <cell r="C18">
            <v>286</v>
          </cell>
        </row>
        <row r="19">
          <cell r="B19">
            <v>170</v>
          </cell>
          <cell r="C19">
            <v>135</v>
          </cell>
        </row>
        <row r="20">
          <cell r="B20">
            <v>158</v>
          </cell>
          <cell r="C20">
            <v>223</v>
          </cell>
        </row>
        <row r="21">
          <cell r="B21">
            <v>143</v>
          </cell>
          <cell r="C21">
            <v>84</v>
          </cell>
        </row>
        <row r="22">
          <cell r="B22">
            <v>111</v>
          </cell>
          <cell r="C22">
            <v>143</v>
          </cell>
        </row>
        <row r="23">
          <cell r="B23">
            <v>98</v>
          </cell>
          <cell r="C23">
            <v>86</v>
          </cell>
        </row>
        <row r="24">
          <cell r="B24">
            <v>85</v>
          </cell>
          <cell r="C24">
            <v>123</v>
          </cell>
        </row>
        <row r="25">
          <cell r="B25">
            <v>82</v>
          </cell>
          <cell r="C25">
            <v>66</v>
          </cell>
        </row>
        <row r="26">
          <cell r="B26">
            <v>106</v>
          </cell>
          <cell r="C26">
            <v>117</v>
          </cell>
        </row>
        <row r="27">
          <cell r="B27">
            <v>83</v>
          </cell>
          <cell r="C27">
            <v>62</v>
          </cell>
        </row>
        <row r="28">
          <cell r="B28">
            <v>86</v>
          </cell>
          <cell r="C28">
            <v>109</v>
          </cell>
        </row>
        <row r="29">
          <cell r="B29">
            <v>84</v>
          </cell>
          <cell r="C29">
            <v>64</v>
          </cell>
        </row>
        <row r="30">
          <cell r="B30">
            <v>73</v>
          </cell>
          <cell r="C30">
            <v>101</v>
          </cell>
        </row>
        <row r="31">
          <cell r="B31">
            <v>70</v>
          </cell>
          <cell r="C31">
            <v>61</v>
          </cell>
        </row>
        <row r="32">
          <cell r="B32">
            <v>75</v>
          </cell>
          <cell r="C32">
            <v>89</v>
          </cell>
        </row>
        <row r="33">
          <cell r="B33">
            <v>42</v>
          </cell>
          <cell r="C33">
            <v>58</v>
          </cell>
        </row>
        <row r="34">
          <cell r="B34">
            <v>61</v>
          </cell>
          <cell r="C34">
            <v>89</v>
          </cell>
        </row>
        <row r="35">
          <cell r="B35">
            <v>70</v>
          </cell>
          <cell r="C35">
            <v>34</v>
          </cell>
        </row>
        <row r="36">
          <cell r="B36">
            <v>60</v>
          </cell>
          <cell r="C36">
            <v>69</v>
          </cell>
        </row>
        <row r="37">
          <cell r="B37">
            <v>54</v>
          </cell>
          <cell r="C37">
            <v>28</v>
          </cell>
        </row>
        <row r="38">
          <cell r="B38">
            <v>66</v>
          </cell>
          <cell r="C38">
            <v>84</v>
          </cell>
        </row>
        <row r="39">
          <cell r="B39">
            <v>44</v>
          </cell>
          <cell r="C39">
            <v>49</v>
          </cell>
        </row>
        <row r="40">
          <cell r="B40">
            <v>51</v>
          </cell>
          <cell r="C40">
            <v>67</v>
          </cell>
        </row>
        <row r="41">
          <cell r="B41">
            <v>42</v>
          </cell>
          <cell r="C41">
            <v>28</v>
          </cell>
        </row>
        <row r="42">
          <cell r="B42">
            <v>39</v>
          </cell>
          <cell r="C42">
            <v>49</v>
          </cell>
        </row>
        <row r="43">
          <cell r="B43">
            <v>49</v>
          </cell>
          <cell r="C43">
            <v>36</v>
          </cell>
        </row>
        <row r="44">
          <cell r="B44">
            <v>53</v>
          </cell>
          <cell r="C44">
            <v>50</v>
          </cell>
        </row>
        <row r="45">
          <cell r="B45">
            <v>31</v>
          </cell>
          <cell r="C45">
            <v>32</v>
          </cell>
        </row>
        <row r="46">
          <cell r="B46">
            <v>54</v>
          </cell>
          <cell r="C46">
            <v>52</v>
          </cell>
        </row>
        <row r="47">
          <cell r="B47">
            <v>51</v>
          </cell>
          <cell r="C47">
            <v>31</v>
          </cell>
        </row>
        <row r="48">
          <cell r="B48">
            <v>47</v>
          </cell>
          <cell r="C48">
            <v>56</v>
          </cell>
        </row>
        <row r="49">
          <cell r="B49">
            <v>42</v>
          </cell>
          <cell r="C49">
            <v>33</v>
          </cell>
        </row>
        <row r="50">
          <cell r="B50">
            <v>47</v>
          </cell>
          <cell r="C50">
            <v>57</v>
          </cell>
        </row>
        <row r="51">
          <cell r="B51">
            <v>38</v>
          </cell>
          <cell r="C51">
            <v>24</v>
          </cell>
        </row>
        <row r="52">
          <cell r="B52">
            <v>46</v>
          </cell>
          <cell r="C52">
            <v>64</v>
          </cell>
        </row>
        <row r="53">
          <cell r="B53">
            <v>33</v>
          </cell>
          <cell r="C53">
            <v>38</v>
          </cell>
        </row>
        <row r="54">
          <cell r="B54">
            <v>51</v>
          </cell>
          <cell r="C54">
            <v>52</v>
          </cell>
        </row>
        <row r="55">
          <cell r="B55">
            <v>41</v>
          </cell>
          <cell r="C55">
            <v>31</v>
          </cell>
        </row>
        <row r="56">
          <cell r="B56">
            <v>45</v>
          </cell>
          <cell r="C56">
            <v>48</v>
          </cell>
        </row>
        <row r="57">
          <cell r="B57">
            <v>35</v>
          </cell>
          <cell r="C57">
            <v>25</v>
          </cell>
        </row>
        <row r="58">
          <cell r="B58">
            <v>43</v>
          </cell>
          <cell r="C58">
            <v>40</v>
          </cell>
        </row>
        <row r="59">
          <cell r="B59">
            <v>43</v>
          </cell>
          <cell r="C59">
            <v>24</v>
          </cell>
        </row>
        <row r="60">
          <cell r="B60">
            <v>52</v>
          </cell>
          <cell r="C60">
            <v>45</v>
          </cell>
        </row>
        <row r="61">
          <cell r="B61">
            <v>40</v>
          </cell>
          <cell r="C61">
            <v>27</v>
          </cell>
        </row>
        <row r="62">
          <cell r="B62">
            <v>55</v>
          </cell>
          <cell r="C62">
            <v>50</v>
          </cell>
        </row>
        <row r="63">
          <cell r="B63">
            <v>33</v>
          </cell>
          <cell r="C63">
            <v>27</v>
          </cell>
        </row>
        <row r="64">
          <cell r="B64">
            <v>46</v>
          </cell>
          <cell r="C64">
            <v>41</v>
          </cell>
        </row>
        <row r="65">
          <cell r="B65">
            <v>32</v>
          </cell>
          <cell r="C65">
            <v>20</v>
          </cell>
        </row>
        <row r="66">
          <cell r="B66">
            <v>39</v>
          </cell>
          <cell r="C66">
            <v>34</v>
          </cell>
        </row>
        <row r="67">
          <cell r="B67">
            <v>35</v>
          </cell>
          <cell r="C67">
            <v>19</v>
          </cell>
        </row>
        <row r="68">
          <cell r="B68">
            <v>35</v>
          </cell>
          <cell r="C68">
            <v>35</v>
          </cell>
        </row>
        <row r="69">
          <cell r="B69">
            <v>28</v>
          </cell>
          <cell r="C69">
            <v>18</v>
          </cell>
        </row>
        <row r="70">
          <cell r="B70">
            <v>27</v>
          </cell>
          <cell r="C70">
            <v>34</v>
          </cell>
        </row>
        <row r="71">
          <cell r="B71">
            <v>33</v>
          </cell>
          <cell r="C71">
            <v>21</v>
          </cell>
        </row>
        <row r="72">
          <cell r="B72">
            <v>30</v>
          </cell>
          <cell r="C72">
            <v>51</v>
          </cell>
        </row>
        <row r="73">
          <cell r="B73">
            <v>30</v>
          </cell>
          <cell r="C73">
            <v>16</v>
          </cell>
        </row>
        <row r="74">
          <cell r="B74">
            <v>38</v>
          </cell>
          <cell r="C74">
            <v>35</v>
          </cell>
        </row>
        <row r="75">
          <cell r="B75">
            <v>28</v>
          </cell>
          <cell r="C75">
            <v>20</v>
          </cell>
        </row>
        <row r="76">
          <cell r="B76">
            <v>30</v>
          </cell>
          <cell r="C76">
            <v>28</v>
          </cell>
        </row>
        <row r="77">
          <cell r="B77">
            <v>36</v>
          </cell>
          <cell r="C77">
            <v>21</v>
          </cell>
        </row>
        <row r="78">
          <cell r="B78">
            <v>46</v>
          </cell>
          <cell r="C78">
            <v>39</v>
          </cell>
        </row>
        <row r="79">
          <cell r="B79">
            <v>24</v>
          </cell>
          <cell r="C79">
            <v>25</v>
          </cell>
        </row>
        <row r="80">
          <cell r="B80">
            <v>38</v>
          </cell>
          <cell r="C80">
            <v>33</v>
          </cell>
        </row>
        <row r="81">
          <cell r="B81">
            <v>31</v>
          </cell>
          <cell r="C81">
            <v>20</v>
          </cell>
        </row>
        <row r="82">
          <cell r="B82">
            <v>43</v>
          </cell>
          <cell r="C82">
            <v>30</v>
          </cell>
        </row>
        <row r="83">
          <cell r="B83">
            <v>24</v>
          </cell>
          <cell r="C83">
            <v>19</v>
          </cell>
        </row>
        <row r="84">
          <cell r="B84">
            <v>29</v>
          </cell>
          <cell r="C84">
            <v>31</v>
          </cell>
        </row>
        <row r="85">
          <cell r="B85">
            <v>17</v>
          </cell>
          <cell r="C85">
            <v>21</v>
          </cell>
        </row>
        <row r="86">
          <cell r="B86">
            <v>31</v>
          </cell>
          <cell r="C86">
            <v>35</v>
          </cell>
        </row>
        <row r="87">
          <cell r="B87">
            <v>27</v>
          </cell>
          <cell r="C87">
            <v>15</v>
          </cell>
        </row>
        <row r="88">
          <cell r="B88">
            <v>33</v>
          </cell>
          <cell r="C88">
            <v>37</v>
          </cell>
        </row>
        <row r="89">
          <cell r="B89">
            <v>23</v>
          </cell>
          <cell r="C89">
            <v>17</v>
          </cell>
        </row>
        <row r="90">
          <cell r="B90">
            <v>31</v>
          </cell>
          <cell r="C90">
            <v>28</v>
          </cell>
        </row>
        <row r="91">
          <cell r="B91">
            <v>18</v>
          </cell>
          <cell r="C91">
            <v>23</v>
          </cell>
        </row>
        <row r="92">
          <cell r="B92">
            <v>27</v>
          </cell>
          <cell r="C92">
            <v>29</v>
          </cell>
        </row>
        <row r="93">
          <cell r="B93">
            <v>26</v>
          </cell>
          <cell r="C93">
            <v>21</v>
          </cell>
        </row>
        <row r="94">
          <cell r="B94">
            <v>31</v>
          </cell>
          <cell r="C94">
            <v>22</v>
          </cell>
        </row>
        <row r="95">
          <cell r="B95">
            <v>20</v>
          </cell>
          <cell r="C95">
            <v>22</v>
          </cell>
        </row>
        <row r="96">
          <cell r="B96">
            <v>35</v>
          </cell>
          <cell r="C96">
            <v>36</v>
          </cell>
        </row>
        <row r="97">
          <cell r="B97">
            <v>26</v>
          </cell>
          <cell r="C97">
            <v>21</v>
          </cell>
        </row>
        <row r="98">
          <cell r="B98">
            <v>26</v>
          </cell>
          <cell r="C98">
            <v>30</v>
          </cell>
        </row>
        <row r="99">
          <cell r="B99">
            <v>33</v>
          </cell>
          <cell r="C99">
            <v>22</v>
          </cell>
        </row>
        <row r="100">
          <cell r="B100">
            <v>27</v>
          </cell>
          <cell r="C100">
            <v>29</v>
          </cell>
        </row>
        <row r="101">
          <cell r="B101">
            <v>32</v>
          </cell>
          <cell r="C101">
            <v>17</v>
          </cell>
        </row>
        <row r="102">
          <cell r="B102">
            <v>33</v>
          </cell>
          <cell r="C102">
            <v>22</v>
          </cell>
        </row>
        <row r="103">
          <cell r="B103">
            <v>21</v>
          </cell>
          <cell r="C103">
            <v>13</v>
          </cell>
        </row>
        <row r="104">
          <cell r="B104">
            <v>31</v>
          </cell>
          <cell r="C104">
            <v>33</v>
          </cell>
        </row>
        <row r="105">
          <cell r="B105">
            <v>22</v>
          </cell>
          <cell r="C105">
            <v>21</v>
          </cell>
        </row>
        <row r="106">
          <cell r="B106">
            <v>24</v>
          </cell>
          <cell r="C106">
            <v>26</v>
          </cell>
        </row>
        <row r="107">
          <cell r="B107">
            <v>25</v>
          </cell>
          <cell r="C107">
            <v>12</v>
          </cell>
        </row>
        <row r="108">
          <cell r="B108">
            <v>32</v>
          </cell>
          <cell r="C108">
            <v>34</v>
          </cell>
        </row>
        <row r="109">
          <cell r="B109">
            <v>24</v>
          </cell>
          <cell r="C109">
            <v>22</v>
          </cell>
        </row>
        <row r="110">
          <cell r="B110">
            <v>36</v>
          </cell>
          <cell r="C110">
            <v>32</v>
          </cell>
        </row>
        <row r="111">
          <cell r="B111">
            <v>16</v>
          </cell>
          <cell r="C111">
            <v>20</v>
          </cell>
        </row>
        <row r="112">
          <cell r="B112">
            <v>32</v>
          </cell>
          <cell r="C112">
            <v>32</v>
          </cell>
        </row>
        <row r="113">
          <cell r="B113">
            <v>22</v>
          </cell>
          <cell r="C113">
            <v>19</v>
          </cell>
        </row>
        <row r="114">
          <cell r="B114">
            <v>33</v>
          </cell>
          <cell r="C114">
            <v>21</v>
          </cell>
        </row>
        <row r="115">
          <cell r="B115">
            <v>17</v>
          </cell>
          <cell r="C115">
            <v>16</v>
          </cell>
        </row>
        <row r="116">
          <cell r="B116">
            <v>38</v>
          </cell>
          <cell r="C116">
            <v>23</v>
          </cell>
        </row>
        <row r="117">
          <cell r="B117">
            <v>28</v>
          </cell>
          <cell r="C117">
            <v>16</v>
          </cell>
        </row>
        <row r="118">
          <cell r="B118">
            <v>33</v>
          </cell>
          <cell r="C118">
            <v>21</v>
          </cell>
        </row>
        <row r="119">
          <cell r="B119">
            <v>21</v>
          </cell>
          <cell r="C119">
            <v>14</v>
          </cell>
        </row>
        <row r="120">
          <cell r="B120">
            <v>31</v>
          </cell>
          <cell r="C120">
            <v>23</v>
          </cell>
        </row>
        <row r="121">
          <cell r="B121">
            <v>17</v>
          </cell>
          <cell r="C121">
            <v>17</v>
          </cell>
        </row>
        <row r="122">
          <cell r="B122">
            <v>24</v>
          </cell>
          <cell r="C122">
            <v>17</v>
          </cell>
        </row>
        <row r="123">
          <cell r="B123">
            <v>25</v>
          </cell>
          <cell r="C123">
            <v>21</v>
          </cell>
        </row>
        <row r="124">
          <cell r="B124">
            <v>38</v>
          </cell>
          <cell r="C124">
            <v>21</v>
          </cell>
        </row>
        <row r="125">
          <cell r="B125">
            <v>17</v>
          </cell>
          <cell r="C125">
            <v>20</v>
          </cell>
        </row>
        <row r="126">
          <cell r="B126">
            <v>22</v>
          </cell>
          <cell r="C126">
            <v>29</v>
          </cell>
        </row>
        <row r="127">
          <cell r="B127">
            <v>18</v>
          </cell>
          <cell r="C127">
            <v>17</v>
          </cell>
        </row>
        <row r="128">
          <cell r="B128">
            <v>36</v>
          </cell>
          <cell r="C128">
            <v>29</v>
          </cell>
        </row>
        <row r="129">
          <cell r="B129">
            <v>13</v>
          </cell>
          <cell r="C129">
            <v>20</v>
          </cell>
        </row>
        <row r="130">
          <cell r="B130">
            <v>42</v>
          </cell>
          <cell r="C130">
            <v>25</v>
          </cell>
        </row>
        <row r="131">
          <cell r="B131">
            <v>18</v>
          </cell>
          <cell r="C131">
            <v>22</v>
          </cell>
        </row>
        <row r="132">
          <cell r="B132">
            <v>25</v>
          </cell>
          <cell r="C132">
            <v>16</v>
          </cell>
        </row>
        <row r="133">
          <cell r="B133">
            <v>18</v>
          </cell>
          <cell r="C133">
            <v>22</v>
          </cell>
        </row>
        <row r="134">
          <cell r="B134">
            <v>29</v>
          </cell>
          <cell r="C134">
            <v>22</v>
          </cell>
        </row>
        <row r="135">
          <cell r="B135">
            <v>24</v>
          </cell>
          <cell r="C135">
            <v>20</v>
          </cell>
        </row>
        <row r="136">
          <cell r="B136">
            <v>24</v>
          </cell>
          <cell r="C136">
            <v>19</v>
          </cell>
        </row>
        <row r="137">
          <cell r="B137">
            <v>20</v>
          </cell>
          <cell r="C137">
            <v>15</v>
          </cell>
        </row>
        <row r="138">
          <cell r="B138">
            <v>34</v>
          </cell>
          <cell r="C138">
            <v>17</v>
          </cell>
        </row>
        <row r="139">
          <cell r="B139">
            <v>16</v>
          </cell>
          <cell r="C139">
            <v>12</v>
          </cell>
        </row>
        <row r="140">
          <cell r="B140">
            <v>32</v>
          </cell>
          <cell r="C140">
            <v>21</v>
          </cell>
        </row>
        <row r="141">
          <cell r="B141">
            <v>13</v>
          </cell>
          <cell r="C141">
            <v>21</v>
          </cell>
        </row>
        <row r="142">
          <cell r="B142">
            <v>28</v>
          </cell>
          <cell r="C142">
            <v>15</v>
          </cell>
        </row>
        <row r="143">
          <cell r="B143">
            <v>15</v>
          </cell>
          <cell r="C143">
            <v>16</v>
          </cell>
        </row>
        <row r="144">
          <cell r="B144">
            <v>37</v>
          </cell>
          <cell r="C144">
            <v>19</v>
          </cell>
        </row>
        <row r="145">
          <cell r="B145">
            <v>15</v>
          </cell>
          <cell r="C145">
            <v>18</v>
          </cell>
        </row>
        <row r="146">
          <cell r="B146">
            <v>28</v>
          </cell>
          <cell r="C146">
            <v>23</v>
          </cell>
        </row>
        <row r="147">
          <cell r="B147">
            <v>25</v>
          </cell>
          <cell r="C147">
            <v>23</v>
          </cell>
        </row>
        <row r="148">
          <cell r="B148">
            <v>26</v>
          </cell>
          <cell r="C148">
            <v>29</v>
          </cell>
        </row>
        <row r="149">
          <cell r="B149">
            <v>18</v>
          </cell>
          <cell r="C149">
            <v>11</v>
          </cell>
        </row>
        <row r="150">
          <cell r="B150">
            <v>30</v>
          </cell>
          <cell r="C150">
            <v>28</v>
          </cell>
        </row>
        <row r="151">
          <cell r="B151">
            <v>30</v>
          </cell>
          <cell r="C151">
            <v>20</v>
          </cell>
        </row>
        <row r="152">
          <cell r="B152">
            <v>30</v>
          </cell>
          <cell r="C152">
            <v>15</v>
          </cell>
        </row>
        <row r="153">
          <cell r="B153">
            <v>23</v>
          </cell>
          <cell r="C153">
            <v>17</v>
          </cell>
        </row>
        <row r="154">
          <cell r="B154">
            <v>23</v>
          </cell>
          <cell r="C154">
            <v>26</v>
          </cell>
        </row>
        <row r="155">
          <cell r="B155">
            <v>19</v>
          </cell>
          <cell r="C155">
            <v>21</v>
          </cell>
        </row>
        <row r="156">
          <cell r="B156">
            <v>24</v>
          </cell>
          <cell r="C156">
            <v>26</v>
          </cell>
        </row>
        <row r="157">
          <cell r="B157">
            <v>9</v>
          </cell>
          <cell r="C157">
            <v>14</v>
          </cell>
        </row>
        <row r="158">
          <cell r="B158">
            <v>30</v>
          </cell>
          <cell r="C158">
            <v>19</v>
          </cell>
        </row>
        <row r="159">
          <cell r="B159">
            <v>9</v>
          </cell>
          <cell r="C159">
            <v>8</v>
          </cell>
        </row>
        <row r="160">
          <cell r="B160">
            <v>29</v>
          </cell>
          <cell r="C160">
            <v>17</v>
          </cell>
        </row>
        <row r="161">
          <cell r="B161">
            <v>17</v>
          </cell>
          <cell r="C161">
            <v>13</v>
          </cell>
        </row>
        <row r="162">
          <cell r="B162">
            <v>35</v>
          </cell>
          <cell r="C162">
            <v>14</v>
          </cell>
        </row>
        <row r="163">
          <cell r="B163">
            <v>17</v>
          </cell>
          <cell r="C163">
            <v>10</v>
          </cell>
        </row>
        <row r="164">
          <cell r="B164">
            <v>29</v>
          </cell>
          <cell r="C164">
            <v>24</v>
          </cell>
        </row>
        <row r="165">
          <cell r="B165">
            <v>15</v>
          </cell>
          <cell r="C165">
            <v>18</v>
          </cell>
        </row>
        <row r="166">
          <cell r="B166">
            <v>25</v>
          </cell>
          <cell r="C166">
            <v>15</v>
          </cell>
        </row>
        <row r="167">
          <cell r="B167">
            <v>14</v>
          </cell>
          <cell r="C167">
            <v>11</v>
          </cell>
        </row>
        <row r="168">
          <cell r="B168">
            <v>23</v>
          </cell>
          <cell r="C168">
            <v>23</v>
          </cell>
        </row>
        <row r="169">
          <cell r="B169">
            <v>14</v>
          </cell>
          <cell r="C169">
            <v>19</v>
          </cell>
        </row>
        <row r="170">
          <cell r="B170">
            <v>28</v>
          </cell>
          <cell r="C170">
            <v>12</v>
          </cell>
        </row>
        <row r="171">
          <cell r="B171">
            <v>20</v>
          </cell>
          <cell r="C171">
            <v>15</v>
          </cell>
        </row>
        <row r="172">
          <cell r="B172">
            <v>20</v>
          </cell>
          <cell r="C172">
            <v>22</v>
          </cell>
        </row>
        <row r="173">
          <cell r="B173">
            <v>12</v>
          </cell>
          <cell r="C173">
            <v>14</v>
          </cell>
        </row>
        <row r="174">
          <cell r="B174">
            <v>19</v>
          </cell>
          <cell r="C174">
            <v>25</v>
          </cell>
        </row>
        <row r="175">
          <cell r="B175">
            <v>13</v>
          </cell>
          <cell r="C175">
            <v>20</v>
          </cell>
        </row>
        <row r="176">
          <cell r="B176">
            <v>25</v>
          </cell>
          <cell r="C176">
            <v>25</v>
          </cell>
        </row>
        <row r="177">
          <cell r="B177">
            <v>9</v>
          </cell>
          <cell r="C177">
            <v>16</v>
          </cell>
        </row>
        <row r="178">
          <cell r="B178">
            <v>25</v>
          </cell>
          <cell r="C178">
            <v>27</v>
          </cell>
        </row>
        <row r="179">
          <cell r="B179">
            <v>14</v>
          </cell>
          <cell r="C179">
            <v>12</v>
          </cell>
        </row>
        <row r="180">
          <cell r="B180">
            <v>25</v>
          </cell>
          <cell r="C180">
            <v>21</v>
          </cell>
        </row>
        <row r="181">
          <cell r="B181">
            <v>19</v>
          </cell>
          <cell r="C181">
            <v>15</v>
          </cell>
        </row>
        <row r="182">
          <cell r="B182">
            <v>27</v>
          </cell>
          <cell r="C182">
            <v>14</v>
          </cell>
        </row>
        <row r="183">
          <cell r="B183">
            <v>16</v>
          </cell>
          <cell r="C183">
            <v>13</v>
          </cell>
        </row>
        <row r="184">
          <cell r="B184">
            <v>18</v>
          </cell>
          <cell r="C184">
            <v>22</v>
          </cell>
        </row>
        <row r="185">
          <cell r="B185">
            <v>10</v>
          </cell>
          <cell r="C185">
            <v>12</v>
          </cell>
        </row>
        <row r="186">
          <cell r="B186">
            <v>25</v>
          </cell>
          <cell r="C186">
            <v>32</v>
          </cell>
        </row>
        <row r="187">
          <cell r="B187">
            <v>7</v>
          </cell>
          <cell r="C187">
            <v>11</v>
          </cell>
        </row>
        <row r="188">
          <cell r="B188">
            <v>22</v>
          </cell>
          <cell r="C188">
            <v>24</v>
          </cell>
        </row>
        <row r="189">
          <cell r="B189">
            <v>15</v>
          </cell>
          <cell r="C189">
            <v>24</v>
          </cell>
        </row>
        <row r="190">
          <cell r="B190">
            <v>21</v>
          </cell>
          <cell r="C190">
            <v>16</v>
          </cell>
        </row>
        <row r="191">
          <cell r="B191">
            <v>18</v>
          </cell>
          <cell r="C191">
            <v>16</v>
          </cell>
        </row>
        <row r="192">
          <cell r="B192">
            <v>30</v>
          </cell>
          <cell r="C192">
            <v>21</v>
          </cell>
        </row>
        <row r="193">
          <cell r="B193">
            <v>13</v>
          </cell>
          <cell r="C193">
            <v>24</v>
          </cell>
        </row>
        <row r="194">
          <cell r="B194">
            <v>27</v>
          </cell>
          <cell r="C194">
            <v>29</v>
          </cell>
        </row>
        <row r="195">
          <cell r="B195">
            <v>21</v>
          </cell>
          <cell r="C195">
            <v>18</v>
          </cell>
        </row>
        <row r="196">
          <cell r="B196">
            <v>27</v>
          </cell>
          <cell r="C196">
            <v>15</v>
          </cell>
        </row>
        <row r="197">
          <cell r="B197">
            <v>20</v>
          </cell>
          <cell r="C197">
            <v>15</v>
          </cell>
        </row>
        <row r="198">
          <cell r="B198">
            <v>36</v>
          </cell>
          <cell r="C198">
            <v>16</v>
          </cell>
        </row>
        <row r="199">
          <cell r="B199">
            <v>15</v>
          </cell>
          <cell r="C199">
            <v>21</v>
          </cell>
        </row>
        <row r="200">
          <cell r="B200">
            <v>34</v>
          </cell>
          <cell r="C200">
            <v>19</v>
          </cell>
        </row>
        <row r="201">
          <cell r="B201">
            <v>15</v>
          </cell>
          <cell r="C201">
            <v>19</v>
          </cell>
        </row>
        <row r="202">
          <cell r="B202">
            <v>23</v>
          </cell>
          <cell r="C202">
            <v>30</v>
          </cell>
        </row>
        <row r="203">
          <cell r="B203">
            <v>14</v>
          </cell>
          <cell r="C203">
            <v>26</v>
          </cell>
        </row>
        <row r="204">
          <cell r="B204">
            <v>31</v>
          </cell>
          <cell r="C204">
            <v>24</v>
          </cell>
        </row>
        <row r="205">
          <cell r="B205">
            <v>25</v>
          </cell>
          <cell r="C205">
            <v>22</v>
          </cell>
        </row>
        <row r="206">
          <cell r="B206">
            <v>32</v>
          </cell>
          <cell r="C206">
            <v>26</v>
          </cell>
        </row>
        <row r="207">
          <cell r="B207">
            <v>19</v>
          </cell>
          <cell r="C207">
            <v>19</v>
          </cell>
        </row>
        <row r="208">
          <cell r="B208">
            <v>31</v>
          </cell>
          <cell r="C208">
            <v>28</v>
          </cell>
        </row>
        <row r="209">
          <cell r="B209">
            <v>24</v>
          </cell>
          <cell r="C209">
            <v>22</v>
          </cell>
        </row>
        <row r="210">
          <cell r="B210">
            <v>20</v>
          </cell>
          <cell r="C210">
            <v>21</v>
          </cell>
        </row>
        <row r="211">
          <cell r="B211">
            <v>19</v>
          </cell>
          <cell r="C211">
            <v>17</v>
          </cell>
        </row>
        <row r="212">
          <cell r="B212">
            <v>31</v>
          </cell>
          <cell r="C212">
            <v>25</v>
          </cell>
        </row>
        <row r="213">
          <cell r="B213">
            <v>13</v>
          </cell>
          <cell r="C213">
            <v>19</v>
          </cell>
        </row>
        <row r="214">
          <cell r="B214">
            <v>37</v>
          </cell>
          <cell r="C214">
            <v>20</v>
          </cell>
        </row>
        <row r="215">
          <cell r="B215">
            <v>18</v>
          </cell>
          <cell r="C215">
            <v>10</v>
          </cell>
        </row>
        <row r="216">
          <cell r="B216">
            <v>30</v>
          </cell>
          <cell r="C216">
            <v>21</v>
          </cell>
        </row>
        <row r="217">
          <cell r="B217">
            <v>15</v>
          </cell>
          <cell r="C217">
            <v>13</v>
          </cell>
        </row>
        <row r="218">
          <cell r="B218">
            <v>36</v>
          </cell>
          <cell r="C218">
            <v>26</v>
          </cell>
        </row>
        <row r="219">
          <cell r="B219">
            <v>26</v>
          </cell>
          <cell r="C219">
            <v>18</v>
          </cell>
        </row>
        <row r="220">
          <cell r="B220">
            <v>29</v>
          </cell>
          <cell r="C220">
            <v>21</v>
          </cell>
        </row>
        <row r="221">
          <cell r="B221">
            <v>24</v>
          </cell>
          <cell r="C221">
            <v>17</v>
          </cell>
        </row>
        <row r="222">
          <cell r="B222">
            <v>46</v>
          </cell>
          <cell r="C222">
            <v>28</v>
          </cell>
        </row>
        <row r="223">
          <cell r="B223">
            <v>14</v>
          </cell>
          <cell r="C223">
            <v>24</v>
          </cell>
        </row>
        <row r="224">
          <cell r="B224">
            <v>50</v>
          </cell>
          <cell r="C224">
            <v>23</v>
          </cell>
        </row>
        <row r="225">
          <cell r="B225">
            <v>25</v>
          </cell>
          <cell r="C225">
            <v>26</v>
          </cell>
        </row>
        <row r="226">
          <cell r="B226">
            <v>40</v>
          </cell>
          <cell r="C226">
            <v>31</v>
          </cell>
        </row>
        <row r="227">
          <cell r="B227">
            <v>25</v>
          </cell>
          <cell r="C227">
            <v>14</v>
          </cell>
        </row>
        <row r="228">
          <cell r="B228">
            <v>54</v>
          </cell>
          <cell r="C228">
            <v>31</v>
          </cell>
        </row>
        <row r="229">
          <cell r="B229">
            <v>36</v>
          </cell>
          <cell r="C229">
            <v>21</v>
          </cell>
        </row>
        <row r="230">
          <cell r="B230">
            <v>57</v>
          </cell>
          <cell r="C230">
            <v>28</v>
          </cell>
        </row>
        <row r="231">
          <cell r="B231">
            <v>31</v>
          </cell>
          <cell r="C231">
            <v>28</v>
          </cell>
        </row>
        <row r="232">
          <cell r="B232">
            <v>26</v>
          </cell>
          <cell r="C232">
            <v>30</v>
          </cell>
        </row>
        <row r="233">
          <cell r="B233">
            <v>25</v>
          </cell>
          <cell r="C233">
            <v>15</v>
          </cell>
        </row>
        <row r="234">
          <cell r="B234">
            <v>50</v>
          </cell>
          <cell r="C234">
            <v>29</v>
          </cell>
        </row>
        <row r="235">
          <cell r="B235">
            <v>29</v>
          </cell>
          <cell r="C235">
            <v>24</v>
          </cell>
        </row>
        <row r="236">
          <cell r="B236">
            <v>62</v>
          </cell>
          <cell r="C236">
            <v>34</v>
          </cell>
        </row>
        <row r="237">
          <cell r="B237">
            <v>33</v>
          </cell>
          <cell r="C237">
            <v>23</v>
          </cell>
        </row>
        <row r="238">
          <cell r="B238">
            <v>69</v>
          </cell>
          <cell r="C238">
            <v>32</v>
          </cell>
        </row>
        <row r="239">
          <cell r="B239">
            <v>36</v>
          </cell>
          <cell r="C239">
            <v>27</v>
          </cell>
        </row>
        <row r="240">
          <cell r="B240">
            <v>44</v>
          </cell>
          <cell r="C240">
            <v>18</v>
          </cell>
        </row>
        <row r="241">
          <cell r="B241">
            <v>24</v>
          </cell>
          <cell r="C241">
            <v>20</v>
          </cell>
        </row>
        <row r="242">
          <cell r="B242">
            <v>56</v>
          </cell>
          <cell r="C242">
            <v>28</v>
          </cell>
        </row>
        <row r="243">
          <cell r="B243">
            <v>32</v>
          </cell>
          <cell r="C243">
            <v>23</v>
          </cell>
        </row>
        <row r="244">
          <cell r="B244">
            <v>85</v>
          </cell>
          <cell r="C244">
            <v>40</v>
          </cell>
        </row>
        <row r="245">
          <cell r="B245">
            <v>39</v>
          </cell>
          <cell r="C245">
            <v>33</v>
          </cell>
        </row>
        <row r="246">
          <cell r="B246">
            <v>71</v>
          </cell>
          <cell r="C246">
            <v>28</v>
          </cell>
        </row>
        <row r="247">
          <cell r="B247">
            <v>44</v>
          </cell>
          <cell r="C247">
            <v>35</v>
          </cell>
        </row>
        <row r="248">
          <cell r="B248">
            <v>100</v>
          </cell>
          <cell r="C248">
            <v>44</v>
          </cell>
        </row>
        <row r="249">
          <cell r="B249">
            <v>51</v>
          </cell>
          <cell r="C249">
            <v>20</v>
          </cell>
        </row>
        <row r="250">
          <cell r="B250">
            <v>137</v>
          </cell>
          <cell r="C250">
            <v>79</v>
          </cell>
        </row>
        <row r="251">
          <cell r="B251">
            <v>92</v>
          </cell>
          <cell r="C251">
            <v>62</v>
          </cell>
        </row>
        <row r="252">
          <cell r="B252">
            <v>173</v>
          </cell>
          <cell r="C252">
            <v>58</v>
          </cell>
        </row>
        <row r="253">
          <cell r="B253">
            <v>96</v>
          </cell>
          <cell r="C253">
            <v>54</v>
          </cell>
        </row>
        <row r="254">
          <cell r="B254">
            <v>437</v>
          </cell>
          <cell r="C254">
            <v>237</v>
          </cell>
        </row>
        <row r="255">
          <cell r="B255">
            <v>242</v>
          </cell>
          <cell r="C255">
            <v>177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freq_10"/>
    </sheetNames>
    <sheetDataSet>
      <sheetData sheetId="0">
        <row r="2">
          <cell r="B2">
            <v>8616</v>
          </cell>
        </row>
        <row r="3">
          <cell r="B3">
            <v>1379</v>
          </cell>
        </row>
        <row r="4">
          <cell r="B4">
            <v>825</v>
          </cell>
        </row>
        <row r="5">
          <cell r="B5">
            <v>590</v>
          </cell>
        </row>
        <row r="6">
          <cell r="B6">
            <v>540</v>
          </cell>
        </row>
        <row r="7">
          <cell r="B7">
            <v>523</v>
          </cell>
        </row>
        <row r="8">
          <cell r="B8">
            <v>376</v>
          </cell>
        </row>
        <row r="9">
          <cell r="B9">
            <v>455</v>
          </cell>
        </row>
        <row r="10">
          <cell r="B10">
            <v>553</v>
          </cell>
        </row>
        <row r="11">
          <cell r="B11">
            <v>1370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"/>
    </sheetNames>
    <sheetDataSet>
      <sheetData sheetId="0">
        <row r="2">
          <cell r="B2">
            <v>293</v>
          </cell>
          <cell r="C2">
            <v>254</v>
          </cell>
        </row>
        <row r="3">
          <cell r="B3">
            <v>275</v>
          </cell>
          <cell r="C3">
            <v>178</v>
          </cell>
        </row>
        <row r="4">
          <cell r="B4">
            <v>105</v>
          </cell>
          <cell r="C4">
            <v>105</v>
          </cell>
        </row>
        <row r="5">
          <cell r="B5">
            <v>116</v>
          </cell>
          <cell r="C5">
            <v>49</v>
          </cell>
        </row>
        <row r="6">
          <cell r="B6">
            <v>102</v>
          </cell>
          <cell r="C6">
            <v>97</v>
          </cell>
        </row>
        <row r="7">
          <cell r="B7">
            <v>100</v>
          </cell>
          <cell r="C7">
            <v>43</v>
          </cell>
        </row>
        <row r="8">
          <cell r="B8">
            <v>64</v>
          </cell>
          <cell r="C8">
            <v>58</v>
          </cell>
        </row>
        <row r="9">
          <cell r="B9">
            <v>54</v>
          </cell>
          <cell r="C9">
            <v>32</v>
          </cell>
        </row>
        <row r="10">
          <cell r="B10">
            <v>47</v>
          </cell>
          <cell r="C10">
            <v>49</v>
          </cell>
        </row>
        <row r="11">
          <cell r="B11">
            <v>54</v>
          </cell>
          <cell r="C11">
            <v>31</v>
          </cell>
        </row>
        <row r="12">
          <cell r="B12">
            <v>51</v>
          </cell>
          <cell r="C12">
            <v>42</v>
          </cell>
        </row>
        <row r="13">
          <cell r="B13">
            <v>38</v>
          </cell>
          <cell r="C13">
            <v>26</v>
          </cell>
        </row>
        <row r="14">
          <cell r="B14">
            <v>30</v>
          </cell>
          <cell r="C14">
            <v>36</v>
          </cell>
        </row>
        <row r="15">
          <cell r="B15">
            <v>33</v>
          </cell>
          <cell r="C15">
            <v>20</v>
          </cell>
        </row>
        <row r="16">
          <cell r="B16">
            <v>33</v>
          </cell>
          <cell r="C16">
            <v>22</v>
          </cell>
        </row>
        <row r="17">
          <cell r="B17">
            <v>32</v>
          </cell>
          <cell r="C17">
            <v>15</v>
          </cell>
        </row>
        <row r="18">
          <cell r="B18">
            <v>44</v>
          </cell>
          <cell r="C18">
            <v>35</v>
          </cell>
        </row>
        <row r="19">
          <cell r="B19">
            <v>30</v>
          </cell>
          <cell r="C19">
            <v>19</v>
          </cell>
        </row>
        <row r="20">
          <cell r="B20">
            <v>29</v>
          </cell>
          <cell r="C20">
            <v>35</v>
          </cell>
        </row>
        <row r="21">
          <cell r="B21">
            <v>31</v>
          </cell>
          <cell r="C21">
            <v>16</v>
          </cell>
        </row>
        <row r="22">
          <cell r="B22">
            <v>17</v>
          </cell>
          <cell r="C22">
            <v>15</v>
          </cell>
        </row>
        <row r="23">
          <cell r="B23">
            <v>20</v>
          </cell>
          <cell r="C23">
            <v>11</v>
          </cell>
        </row>
        <row r="24">
          <cell r="B24">
            <v>13</v>
          </cell>
          <cell r="C24">
            <v>19</v>
          </cell>
        </row>
        <row r="25">
          <cell r="B25">
            <v>8</v>
          </cell>
          <cell r="C25">
            <v>6</v>
          </cell>
        </row>
        <row r="26">
          <cell r="B26">
            <v>12</v>
          </cell>
          <cell r="C26">
            <v>15</v>
          </cell>
        </row>
        <row r="27">
          <cell r="B27">
            <v>17</v>
          </cell>
          <cell r="C27">
            <v>7</v>
          </cell>
        </row>
        <row r="28">
          <cell r="B28">
            <v>16</v>
          </cell>
          <cell r="C28">
            <v>6</v>
          </cell>
        </row>
        <row r="29">
          <cell r="B29">
            <v>18</v>
          </cell>
          <cell r="C29">
            <v>10</v>
          </cell>
        </row>
        <row r="30">
          <cell r="B30">
            <v>9</v>
          </cell>
          <cell r="C30">
            <v>14</v>
          </cell>
        </row>
        <row r="31">
          <cell r="B31">
            <v>19</v>
          </cell>
          <cell r="C31">
            <v>9</v>
          </cell>
        </row>
        <row r="32">
          <cell r="B32">
            <v>7</v>
          </cell>
          <cell r="C32">
            <v>13</v>
          </cell>
        </row>
        <row r="33">
          <cell r="B33">
            <v>7</v>
          </cell>
          <cell r="C33">
            <v>5</v>
          </cell>
        </row>
        <row r="34">
          <cell r="B34">
            <v>13</v>
          </cell>
          <cell r="C34">
            <v>11</v>
          </cell>
        </row>
        <row r="35">
          <cell r="B35">
            <v>7</v>
          </cell>
          <cell r="C35">
            <v>1</v>
          </cell>
        </row>
        <row r="36">
          <cell r="B36">
            <v>3</v>
          </cell>
          <cell r="C36">
            <v>13</v>
          </cell>
        </row>
        <row r="37">
          <cell r="B37">
            <v>8</v>
          </cell>
          <cell r="C37">
            <v>4</v>
          </cell>
        </row>
        <row r="38">
          <cell r="B38">
            <v>13</v>
          </cell>
          <cell r="C38">
            <v>6</v>
          </cell>
        </row>
        <row r="39">
          <cell r="B39">
            <v>10</v>
          </cell>
          <cell r="C39">
            <v>3</v>
          </cell>
        </row>
        <row r="40">
          <cell r="B40">
            <v>12</v>
          </cell>
          <cell r="C40">
            <v>8</v>
          </cell>
        </row>
        <row r="41">
          <cell r="B41">
            <v>10</v>
          </cell>
          <cell r="C41">
            <v>8</v>
          </cell>
        </row>
        <row r="42">
          <cell r="B42">
            <v>10</v>
          </cell>
          <cell r="C42">
            <v>8</v>
          </cell>
        </row>
        <row r="43">
          <cell r="B43">
            <v>7</v>
          </cell>
          <cell r="C43">
            <v>4</v>
          </cell>
        </row>
        <row r="44">
          <cell r="B44">
            <v>6</v>
          </cell>
          <cell r="C44">
            <v>3</v>
          </cell>
        </row>
        <row r="45">
          <cell r="B45">
            <v>8</v>
          </cell>
          <cell r="C45">
            <v>9</v>
          </cell>
        </row>
        <row r="46">
          <cell r="B46">
            <v>10</v>
          </cell>
          <cell r="C46">
            <v>10</v>
          </cell>
        </row>
        <row r="47">
          <cell r="B47">
            <v>8</v>
          </cell>
          <cell r="C47">
            <v>8</v>
          </cell>
        </row>
        <row r="48">
          <cell r="B48">
            <v>7</v>
          </cell>
          <cell r="C48">
            <v>4</v>
          </cell>
        </row>
        <row r="49">
          <cell r="B49">
            <v>7</v>
          </cell>
          <cell r="C49">
            <v>3</v>
          </cell>
        </row>
        <row r="50">
          <cell r="B50">
            <v>9</v>
          </cell>
          <cell r="C50">
            <v>6</v>
          </cell>
        </row>
        <row r="51">
          <cell r="B51">
            <v>7</v>
          </cell>
          <cell r="C51">
            <v>3</v>
          </cell>
        </row>
        <row r="52">
          <cell r="B52">
            <v>5</v>
          </cell>
          <cell r="C52">
            <v>8</v>
          </cell>
        </row>
        <row r="53">
          <cell r="B53">
            <v>8</v>
          </cell>
          <cell r="C53">
            <v>5</v>
          </cell>
        </row>
        <row r="54">
          <cell r="B54">
            <v>10</v>
          </cell>
          <cell r="C54">
            <v>6</v>
          </cell>
        </row>
        <row r="55">
          <cell r="B55">
            <v>4</v>
          </cell>
          <cell r="C55">
            <v>3</v>
          </cell>
        </row>
        <row r="56">
          <cell r="B56">
            <v>6</v>
          </cell>
          <cell r="C56">
            <v>5</v>
          </cell>
        </row>
        <row r="57">
          <cell r="B57">
            <v>6</v>
          </cell>
          <cell r="C57">
            <v>10</v>
          </cell>
        </row>
        <row r="58">
          <cell r="B58">
            <v>9</v>
          </cell>
          <cell r="C58">
            <v>6</v>
          </cell>
        </row>
        <row r="59">
          <cell r="B59">
            <v>6</v>
          </cell>
          <cell r="C59">
            <v>4</v>
          </cell>
        </row>
        <row r="60">
          <cell r="B60">
            <v>8</v>
          </cell>
          <cell r="C60">
            <v>4</v>
          </cell>
        </row>
        <row r="61">
          <cell r="B61">
            <v>7</v>
          </cell>
          <cell r="C61">
            <v>4</v>
          </cell>
        </row>
        <row r="62">
          <cell r="B62">
            <v>4</v>
          </cell>
          <cell r="C62">
            <v>9</v>
          </cell>
        </row>
        <row r="63">
          <cell r="B63">
            <v>4</v>
          </cell>
          <cell r="C63">
            <v>1</v>
          </cell>
        </row>
        <row r="64">
          <cell r="B64">
            <v>2</v>
          </cell>
          <cell r="C64">
            <v>2</v>
          </cell>
        </row>
        <row r="65">
          <cell r="B65">
            <v>8</v>
          </cell>
          <cell r="C65">
            <v>4</v>
          </cell>
        </row>
        <row r="66">
          <cell r="B66">
            <v>5</v>
          </cell>
          <cell r="C66">
            <v>5</v>
          </cell>
        </row>
        <row r="67">
          <cell r="B67">
            <v>6</v>
          </cell>
          <cell r="C67">
            <v>4</v>
          </cell>
        </row>
        <row r="68">
          <cell r="B68">
            <v>6</v>
          </cell>
          <cell r="C68">
            <v>3</v>
          </cell>
        </row>
        <row r="69">
          <cell r="B69">
            <v>6</v>
          </cell>
          <cell r="C69">
            <v>3</v>
          </cell>
        </row>
        <row r="70">
          <cell r="B70">
            <v>11</v>
          </cell>
          <cell r="C70">
            <v>5</v>
          </cell>
        </row>
        <row r="71">
          <cell r="B71">
            <v>8</v>
          </cell>
          <cell r="C71">
            <v>2</v>
          </cell>
        </row>
        <row r="72">
          <cell r="B72">
            <v>5</v>
          </cell>
          <cell r="C72">
            <v>7</v>
          </cell>
        </row>
        <row r="73">
          <cell r="B73">
            <v>3</v>
          </cell>
          <cell r="C73">
            <v>2</v>
          </cell>
        </row>
        <row r="74">
          <cell r="B74">
            <v>2</v>
          </cell>
          <cell r="C74">
            <v>3</v>
          </cell>
        </row>
        <row r="75">
          <cell r="B75">
            <v>5</v>
          </cell>
          <cell r="C75">
            <v>2</v>
          </cell>
        </row>
        <row r="76">
          <cell r="B76">
            <v>5</v>
          </cell>
          <cell r="C76">
            <v>6</v>
          </cell>
        </row>
        <row r="77">
          <cell r="B77">
            <v>4</v>
          </cell>
          <cell r="C77">
            <v>5</v>
          </cell>
        </row>
        <row r="78">
          <cell r="B78">
            <v>6</v>
          </cell>
          <cell r="C78">
            <v>4</v>
          </cell>
        </row>
        <row r="79">
          <cell r="B79">
            <v>7</v>
          </cell>
          <cell r="C79">
            <v>1</v>
          </cell>
        </row>
        <row r="80">
          <cell r="B80">
            <v>3</v>
          </cell>
          <cell r="C80">
            <v>10</v>
          </cell>
        </row>
        <row r="81">
          <cell r="B81">
            <v>3</v>
          </cell>
          <cell r="C81">
            <v>3</v>
          </cell>
        </row>
        <row r="82">
          <cell r="B82">
            <v>4</v>
          </cell>
          <cell r="C82">
            <v>3</v>
          </cell>
        </row>
        <row r="83">
          <cell r="B83">
            <v>3</v>
          </cell>
          <cell r="C83">
            <v>3</v>
          </cell>
        </row>
        <row r="84">
          <cell r="B84">
            <v>5</v>
          </cell>
          <cell r="C84">
            <v>3</v>
          </cell>
        </row>
        <row r="85">
          <cell r="B85">
            <v>3</v>
          </cell>
          <cell r="C85">
            <v>6</v>
          </cell>
        </row>
        <row r="86">
          <cell r="B86">
            <v>7</v>
          </cell>
          <cell r="C86">
            <v>1</v>
          </cell>
        </row>
        <row r="87">
          <cell r="B87">
            <v>6</v>
          </cell>
          <cell r="C87">
            <v>2</v>
          </cell>
        </row>
        <row r="88">
          <cell r="B88">
            <v>3</v>
          </cell>
          <cell r="C88">
            <v>5</v>
          </cell>
        </row>
        <row r="89">
          <cell r="B89">
            <v>4</v>
          </cell>
          <cell r="C89">
            <v>2</v>
          </cell>
        </row>
        <row r="90">
          <cell r="B90">
            <v>4</v>
          </cell>
          <cell r="C90">
            <v>5</v>
          </cell>
        </row>
        <row r="91">
          <cell r="B91">
            <v>7</v>
          </cell>
          <cell r="C91">
            <v>2</v>
          </cell>
        </row>
        <row r="92">
          <cell r="B92">
            <v>3</v>
          </cell>
          <cell r="C92">
            <v>2</v>
          </cell>
        </row>
        <row r="93">
          <cell r="B93">
            <v>2</v>
          </cell>
          <cell r="C93">
            <v>4</v>
          </cell>
        </row>
        <row r="94">
          <cell r="B94">
            <v>4</v>
          </cell>
          <cell r="C94">
            <v>2</v>
          </cell>
        </row>
        <row r="95">
          <cell r="B95">
            <v>2</v>
          </cell>
          <cell r="C95">
            <v>3</v>
          </cell>
        </row>
        <row r="96">
          <cell r="B96">
            <v>8</v>
          </cell>
          <cell r="C96">
            <v>6</v>
          </cell>
        </row>
        <row r="97">
          <cell r="B97">
            <v>1</v>
          </cell>
          <cell r="C97">
            <v>4</v>
          </cell>
        </row>
        <row r="98">
          <cell r="B98">
            <v>5</v>
          </cell>
          <cell r="C98">
            <v>3</v>
          </cell>
        </row>
        <row r="99">
          <cell r="B99">
            <v>3</v>
          </cell>
          <cell r="C99">
            <v>1</v>
          </cell>
        </row>
        <row r="100">
          <cell r="B100">
            <v>2</v>
          </cell>
          <cell r="C100">
            <v>6</v>
          </cell>
        </row>
        <row r="101">
          <cell r="B101">
            <v>3</v>
          </cell>
          <cell r="C101">
            <v>5</v>
          </cell>
        </row>
        <row r="102">
          <cell r="B102">
            <v>7</v>
          </cell>
          <cell r="C102">
            <v>2</v>
          </cell>
        </row>
        <row r="103">
          <cell r="B103">
            <v>1</v>
          </cell>
          <cell r="C103">
            <v>0</v>
          </cell>
        </row>
        <row r="104">
          <cell r="B104">
            <v>3</v>
          </cell>
          <cell r="C104">
            <v>4</v>
          </cell>
        </row>
        <row r="105">
          <cell r="B105">
            <v>4</v>
          </cell>
          <cell r="C105">
            <v>2</v>
          </cell>
        </row>
        <row r="106">
          <cell r="B106">
            <v>4</v>
          </cell>
          <cell r="C106">
            <v>5</v>
          </cell>
        </row>
        <row r="107">
          <cell r="B107">
            <v>3</v>
          </cell>
          <cell r="C107">
            <v>2</v>
          </cell>
        </row>
        <row r="108">
          <cell r="B108">
            <v>9</v>
          </cell>
          <cell r="C108">
            <v>5</v>
          </cell>
        </row>
        <row r="109">
          <cell r="B109">
            <v>4</v>
          </cell>
          <cell r="C109">
            <v>0</v>
          </cell>
        </row>
        <row r="110">
          <cell r="B110">
            <v>5</v>
          </cell>
          <cell r="C110">
            <v>6</v>
          </cell>
        </row>
        <row r="111">
          <cell r="B111">
            <v>6</v>
          </cell>
          <cell r="C111">
            <v>6</v>
          </cell>
        </row>
        <row r="112">
          <cell r="B112">
            <v>4</v>
          </cell>
          <cell r="C112">
            <v>1</v>
          </cell>
        </row>
        <row r="113">
          <cell r="B113">
            <v>4</v>
          </cell>
          <cell r="C113">
            <v>2</v>
          </cell>
        </row>
        <row r="114">
          <cell r="B114">
            <v>3</v>
          </cell>
          <cell r="C114">
            <v>3</v>
          </cell>
        </row>
        <row r="115">
          <cell r="B115">
            <v>5</v>
          </cell>
          <cell r="C115">
            <v>5</v>
          </cell>
        </row>
        <row r="116">
          <cell r="B116">
            <v>2</v>
          </cell>
          <cell r="C116">
            <v>4</v>
          </cell>
        </row>
        <row r="117">
          <cell r="B117">
            <v>2</v>
          </cell>
          <cell r="C117">
            <v>1</v>
          </cell>
        </row>
        <row r="118">
          <cell r="B118">
            <v>5</v>
          </cell>
          <cell r="C118">
            <v>3</v>
          </cell>
        </row>
        <row r="119">
          <cell r="B119">
            <v>1</v>
          </cell>
          <cell r="C119">
            <v>5</v>
          </cell>
        </row>
        <row r="120">
          <cell r="B120">
            <v>2</v>
          </cell>
          <cell r="C120">
            <v>1</v>
          </cell>
        </row>
        <row r="121">
          <cell r="B121">
            <v>7</v>
          </cell>
          <cell r="C121">
            <v>3</v>
          </cell>
        </row>
        <row r="122">
          <cell r="B122">
            <v>5</v>
          </cell>
          <cell r="C122">
            <v>1</v>
          </cell>
        </row>
        <row r="123">
          <cell r="B123">
            <v>4</v>
          </cell>
          <cell r="C123">
            <v>1</v>
          </cell>
        </row>
        <row r="124">
          <cell r="B124">
            <v>3</v>
          </cell>
          <cell r="C124">
            <v>5</v>
          </cell>
        </row>
        <row r="125">
          <cell r="B125">
            <v>3</v>
          </cell>
          <cell r="C125">
            <v>1</v>
          </cell>
        </row>
        <row r="126">
          <cell r="B126">
            <v>3</v>
          </cell>
          <cell r="C126">
            <v>5</v>
          </cell>
        </row>
        <row r="127">
          <cell r="B127">
            <v>6</v>
          </cell>
          <cell r="C127">
            <v>1</v>
          </cell>
        </row>
        <row r="128">
          <cell r="B128">
            <v>2</v>
          </cell>
          <cell r="C128">
            <v>2</v>
          </cell>
        </row>
        <row r="129">
          <cell r="B129">
            <v>4</v>
          </cell>
          <cell r="C129">
            <v>1</v>
          </cell>
        </row>
        <row r="130">
          <cell r="B130">
            <v>4</v>
          </cell>
          <cell r="C130">
            <v>3</v>
          </cell>
        </row>
        <row r="131">
          <cell r="B131">
            <v>3</v>
          </cell>
          <cell r="C131">
            <v>1</v>
          </cell>
        </row>
        <row r="132">
          <cell r="B132">
            <v>4</v>
          </cell>
          <cell r="C132">
            <v>4</v>
          </cell>
        </row>
        <row r="133">
          <cell r="B133">
            <v>1</v>
          </cell>
          <cell r="C133">
            <v>6</v>
          </cell>
        </row>
        <row r="134">
          <cell r="B134">
            <v>5</v>
          </cell>
          <cell r="C134">
            <v>5</v>
          </cell>
        </row>
        <row r="135">
          <cell r="B135">
            <v>4</v>
          </cell>
          <cell r="C135">
            <v>4</v>
          </cell>
        </row>
        <row r="136">
          <cell r="B136">
            <v>0</v>
          </cell>
          <cell r="C136">
            <v>2</v>
          </cell>
        </row>
        <row r="137">
          <cell r="B137">
            <v>2</v>
          </cell>
          <cell r="C137">
            <v>1</v>
          </cell>
        </row>
        <row r="138">
          <cell r="B138">
            <v>1</v>
          </cell>
          <cell r="C138">
            <v>2</v>
          </cell>
        </row>
        <row r="139">
          <cell r="B139">
            <v>3</v>
          </cell>
          <cell r="C139">
            <v>3</v>
          </cell>
        </row>
        <row r="140">
          <cell r="B140">
            <v>1</v>
          </cell>
          <cell r="C140">
            <v>1</v>
          </cell>
        </row>
        <row r="141">
          <cell r="B141">
            <v>1</v>
          </cell>
          <cell r="C141">
            <v>2</v>
          </cell>
        </row>
        <row r="142">
          <cell r="B142">
            <v>4</v>
          </cell>
          <cell r="C142">
            <v>4</v>
          </cell>
        </row>
        <row r="143">
          <cell r="B143">
            <v>6</v>
          </cell>
          <cell r="C143">
            <v>1</v>
          </cell>
        </row>
        <row r="144">
          <cell r="B144">
            <v>4</v>
          </cell>
          <cell r="C144">
            <v>1</v>
          </cell>
        </row>
        <row r="145">
          <cell r="B145">
            <v>3</v>
          </cell>
          <cell r="C145">
            <v>6</v>
          </cell>
        </row>
        <row r="146">
          <cell r="B146">
            <v>3</v>
          </cell>
          <cell r="C146">
            <v>1</v>
          </cell>
        </row>
        <row r="147">
          <cell r="B147">
            <v>3</v>
          </cell>
          <cell r="C147">
            <v>1</v>
          </cell>
        </row>
        <row r="148">
          <cell r="B148">
            <v>3</v>
          </cell>
          <cell r="C148">
            <v>0</v>
          </cell>
        </row>
        <row r="149">
          <cell r="B149">
            <v>5</v>
          </cell>
          <cell r="C149">
            <v>2</v>
          </cell>
        </row>
        <row r="150">
          <cell r="B150">
            <v>4</v>
          </cell>
          <cell r="C150">
            <v>0</v>
          </cell>
        </row>
        <row r="151">
          <cell r="B151">
            <v>1</v>
          </cell>
          <cell r="C151">
            <v>2</v>
          </cell>
        </row>
        <row r="152">
          <cell r="B152">
            <v>2</v>
          </cell>
          <cell r="C152">
            <v>2</v>
          </cell>
        </row>
        <row r="153">
          <cell r="B153">
            <v>2</v>
          </cell>
          <cell r="C153">
            <v>4</v>
          </cell>
        </row>
        <row r="154">
          <cell r="B154">
            <v>2</v>
          </cell>
          <cell r="C154">
            <v>2</v>
          </cell>
        </row>
        <row r="155">
          <cell r="B155">
            <v>1</v>
          </cell>
          <cell r="C155">
            <v>2</v>
          </cell>
        </row>
        <row r="156">
          <cell r="B156">
            <v>5</v>
          </cell>
          <cell r="C156">
            <v>3</v>
          </cell>
        </row>
        <row r="157">
          <cell r="B157">
            <v>2</v>
          </cell>
          <cell r="C157">
            <v>3</v>
          </cell>
        </row>
        <row r="158">
          <cell r="B158">
            <v>3</v>
          </cell>
          <cell r="C158">
            <v>0</v>
          </cell>
        </row>
        <row r="159">
          <cell r="B159">
            <v>1</v>
          </cell>
          <cell r="C159">
            <v>5</v>
          </cell>
        </row>
        <row r="160">
          <cell r="B160">
            <v>2</v>
          </cell>
          <cell r="C160">
            <v>2</v>
          </cell>
        </row>
        <row r="161">
          <cell r="B161">
            <v>4</v>
          </cell>
          <cell r="C161">
            <v>1</v>
          </cell>
        </row>
        <row r="162">
          <cell r="B162">
            <v>2</v>
          </cell>
          <cell r="C162">
            <v>1</v>
          </cell>
        </row>
        <row r="163">
          <cell r="B163">
            <v>2</v>
          </cell>
          <cell r="C163">
            <v>1</v>
          </cell>
        </row>
        <row r="164">
          <cell r="B164">
            <v>3</v>
          </cell>
          <cell r="C164">
            <v>7</v>
          </cell>
        </row>
        <row r="165">
          <cell r="B165">
            <v>0</v>
          </cell>
          <cell r="C165">
            <v>1</v>
          </cell>
        </row>
        <row r="166">
          <cell r="B166">
            <v>2</v>
          </cell>
          <cell r="C166">
            <v>1</v>
          </cell>
        </row>
        <row r="167">
          <cell r="B167">
            <v>3</v>
          </cell>
          <cell r="C167">
            <v>2</v>
          </cell>
        </row>
        <row r="168">
          <cell r="B168">
            <v>4</v>
          </cell>
          <cell r="C168">
            <v>4</v>
          </cell>
        </row>
        <row r="169">
          <cell r="B169">
            <v>7</v>
          </cell>
          <cell r="C169">
            <v>3</v>
          </cell>
        </row>
        <row r="170">
          <cell r="B170">
            <v>3</v>
          </cell>
          <cell r="C170">
            <v>4</v>
          </cell>
        </row>
        <row r="171">
          <cell r="B171">
            <v>6</v>
          </cell>
          <cell r="C171">
            <v>0</v>
          </cell>
        </row>
        <row r="172">
          <cell r="B172">
            <v>2</v>
          </cell>
          <cell r="C172">
            <v>4</v>
          </cell>
        </row>
        <row r="173">
          <cell r="B173">
            <v>3</v>
          </cell>
          <cell r="C173">
            <v>4</v>
          </cell>
        </row>
        <row r="174">
          <cell r="B174">
            <v>5</v>
          </cell>
          <cell r="C174">
            <v>1</v>
          </cell>
        </row>
        <row r="175">
          <cell r="B175">
            <v>3</v>
          </cell>
          <cell r="C175">
            <v>3</v>
          </cell>
        </row>
        <row r="176">
          <cell r="B176">
            <v>2</v>
          </cell>
          <cell r="C176">
            <v>1</v>
          </cell>
        </row>
        <row r="177">
          <cell r="B177">
            <v>3</v>
          </cell>
          <cell r="C177">
            <v>4</v>
          </cell>
        </row>
        <row r="178">
          <cell r="B178">
            <v>1</v>
          </cell>
          <cell r="C178">
            <v>2</v>
          </cell>
        </row>
        <row r="179">
          <cell r="B179">
            <v>1</v>
          </cell>
          <cell r="C179">
            <v>3</v>
          </cell>
        </row>
        <row r="180">
          <cell r="B180">
            <v>4</v>
          </cell>
          <cell r="C180">
            <v>3</v>
          </cell>
        </row>
        <row r="181">
          <cell r="B181">
            <v>2</v>
          </cell>
          <cell r="C181">
            <v>1</v>
          </cell>
        </row>
        <row r="182">
          <cell r="B182">
            <v>6</v>
          </cell>
          <cell r="C182">
            <v>1</v>
          </cell>
        </row>
        <row r="183">
          <cell r="B183">
            <v>3</v>
          </cell>
          <cell r="C183">
            <v>3</v>
          </cell>
        </row>
        <row r="184">
          <cell r="B184">
            <v>4</v>
          </cell>
          <cell r="C184">
            <v>1</v>
          </cell>
        </row>
        <row r="185">
          <cell r="B185">
            <v>1</v>
          </cell>
          <cell r="C185">
            <v>3</v>
          </cell>
        </row>
        <row r="186">
          <cell r="B186">
            <v>5</v>
          </cell>
          <cell r="C186">
            <v>5</v>
          </cell>
        </row>
        <row r="187">
          <cell r="B187">
            <v>2</v>
          </cell>
          <cell r="C187">
            <v>0</v>
          </cell>
        </row>
        <row r="188">
          <cell r="B188">
            <v>9</v>
          </cell>
          <cell r="C188">
            <v>6</v>
          </cell>
        </row>
        <row r="189">
          <cell r="B189">
            <v>4</v>
          </cell>
          <cell r="C189">
            <v>1</v>
          </cell>
        </row>
        <row r="190">
          <cell r="B190">
            <v>0</v>
          </cell>
          <cell r="C190">
            <v>2</v>
          </cell>
        </row>
        <row r="191">
          <cell r="B191">
            <v>3</v>
          </cell>
          <cell r="C191">
            <v>2</v>
          </cell>
        </row>
        <row r="192">
          <cell r="B192">
            <v>5</v>
          </cell>
          <cell r="C192">
            <v>2</v>
          </cell>
        </row>
        <row r="193">
          <cell r="B193">
            <v>4</v>
          </cell>
          <cell r="C193">
            <v>0</v>
          </cell>
        </row>
        <row r="194">
          <cell r="B194">
            <v>5</v>
          </cell>
          <cell r="C194">
            <v>2</v>
          </cell>
        </row>
        <row r="195">
          <cell r="B195">
            <v>5</v>
          </cell>
          <cell r="C195">
            <v>4</v>
          </cell>
        </row>
        <row r="196">
          <cell r="B196">
            <v>7</v>
          </cell>
          <cell r="C196">
            <v>0</v>
          </cell>
        </row>
        <row r="197">
          <cell r="B197">
            <v>3</v>
          </cell>
          <cell r="C197">
            <v>2</v>
          </cell>
        </row>
        <row r="198">
          <cell r="B198">
            <v>2</v>
          </cell>
          <cell r="C198">
            <v>2</v>
          </cell>
        </row>
        <row r="199">
          <cell r="B199">
            <v>1</v>
          </cell>
          <cell r="C199">
            <v>3</v>
          </cell>
        </row>
        <row r="200">
          <cell r="B200">
            <v>2</v>
          </cell>
          <cell r="C200">
            <v>2</v>
          </cell>
        </row>
        <row r="201">
          <cell r="B201">
            <v>2</v>
          </cell>
          <cell r="C201">
            <v>5</v>
          </cell>
        </row>
        <row r="202">
          <cell r="B202">
            <v>4</v>
          </cell>
          <cell r="C202">
            <v>3</v>
          </cell>
        </row>
        <row r="203">
          <cell r="B203">
            <v>1</v>
          </cell>
          <cell r="C203">
            <v>2</v>
          </cell>
        </row>
        <row r="204">
          <cell r="B204">
            <v>9</v>
          </cell>
          <cell r="C204">
            <v>3</v>
          </cell>
        </row>
        <row r="205">
          <cell r="B205">
            <v>7</v>
          </cell>
          <cell r="C205">
            <v>3</v>
          </cell>
        </row>
        <row r="206">
          <cell r="B206">
            <v>2</v>
          </cell>
          <cell r="C206">
            <v>3</v>
          </cell>
        </row>
        <row r="207">
          <cell r="B207">
            <v>2</v>
          </cell>
          <cell r="C207">
            <v>1</v>
          </cell>
        </row>
        <row r="208">
          <cell r="B208">
            <v>3</v>
          </cell>
          <cell r="C208">
            <v>1</v>
          </cell>
        </row>
        <row r="209">
          <cell r="B209">
            <v>2</v>
          </cell>
          <cell r="C209">
            <v>3</v>
          </cell>
        </row>
        <row r="210">
          <cell r="B210">
            <v>4</v>
          </cell>
          <cell r="C210">
            <v>5</v>
          </cell>
        </row>
        <row r="211">
          <cell r="B211">
            <v>1</v>
          </cell>
          <cell r="C211">
            <v>2</v>
          </cell>
        </row>
        <row r="212">
          <cell r="B212">
            <v>0</v>
          </cell>
          <cell r="C212">
            <v>1</v>
          </cell>
        </row>
        <row r="213">
          <cell r="B213">
            <v>6</v>
          </cell>
          <cell r="C213">
            <v>1</v>
          </cell>
        </row>
        <row r="214">
          <cell r="B214">
            <v>4</v>
          </cell>
          <cell r="C214">
            <v>1</v>
          </cell>
        </row>
        <row r="215">
          <cell r="B215">
            <v>4</v>
          </cell>
          <cell r="C215">
            <v>2</v>
          </cell>
        </row>
        <row r="216">
          <cell r="B216">
            <v>4</v>
          </cell>
          <cell r="C216">
            <v>1</v>
          </cell>
        </row>
        <row r="217">
          <cell r="B217">
            <v>1</v>
          </cell>
          <cell r="C217">
            <v>0</v>
          </cell>
        </row>
        <row r="218">
          <cell r="B218">
            <v>7</v>
          </cell>
          <cell r="C218">
            <v>1</v>
          </cell>
        </row>
        <row r="219">
          <cell r="B219">
            <v>2</v>
          </cell>
          <cell r="C219">
            <v>1</v>
          </cell>
        </row>
        <row r="220">
          <cell r="B220">
            <v>3</v>
          </cell>
          <cell r="C220">
            <v>2</v>
          </cell>
        </row>
        <row r="221">
          <cell r="B221">
            <v>2</v>
          </cell>
          <cell r="C221">
            <v>0</v>
          </cell>
        </row>
        <row r="222">
          <cell r="B222">
            <v>6</v>
          </cell>
          <cell r="C222">
            <v>4</v>
          </cell>
        </row>
        <row r="223">
          <cell r="B223">
            <v>2</v>
          </cell>
          <cell r="C223">
            <v>3</v>
          </cell>
        </row>
        <row r="224">
          <cell r="B224">
            <v>9</v>
          </cell>
          <cell r="C224">
            <v>3</v>
          </cell>
        </row>
        <row r="225">
          <cell r="B225">
            <v>3</v>
          </cell>
          <cell r="C225">
            <v>3</v>
          </cell>
        </row>
        <row r="226">
          <cell r="B226">
            <v>5</v>
          </cell>
          <cell r="C226">
            <v>4</v>
          </cell>
        </row>
        <row r="227">
          <cell r="B227">
            <v>3</v>
          </cell>
          <cell r="C227">
            <v>2</v>
          </cell>
        </row>
        <row r="228">
          <cell r="B228">
            <v>5</v>
          </cell>
          <cell r="C228">
            <v>3</v>
          </cell>
        </row>
        <row r="229">
          <cell r="B229">
            <v>6</v>
          </cell>
          <cell r="C229">
            <v>2</v>
          </cell>
        </row>
        <row r="230">
          <cell r="B230">
            <v>1</v>
          </cell>
          <cell r="C230">
            <v>4</v>
          </cell>
        </row>
        <row r="231">
          <cell r="B231">
            <v>3</v>
          </cell>
          <cell r="C231">
            <v>4</v>
          </cell>
        </row>
        <row r="232">
          <cell r="B232">
            <v>3</v>
          </cell>
          <cell r="C232">
            <v>5</v>
          </cell>
        </row>
        <row r="233">
          <cell r="B233">
            <v>3</v>
          </cell>
          <cell r="C233">
            <v>1</v>
          </cell>
        </row>
        <row r="234">
          <cell r="B234">
            <v>4</v>
          </cell>
          <cell r="C234">
            <v>5</v>
          </cell>
        </row>
        <row r="235">
          <cell r="B235">
            <v>2</v>
          </cell>
          <cell r="C235">
            <v>4</v>
          </cell>
        </row>
        <row r="236">
          <cell r="B236">
            <v>7</v>
          </cell>
          <cell r="C236">
            <v>6</v>
          </cell>
        </row>
        <row r="237">
          <cell r="B237">
            <v>9</v>
          </cell>
          <cell r="C237">
            <v>4</v>
          </cell>
        </row>
        <row r="238">
          <cell r="B238">
            <v>15</v>
          </cell>
          <cell r="C238">
            <v>7</v>
          </cell>
        </row>
        <row r="239">
          <cell r="B239">
            <v>11</v>
          </cell>
          <cell r="C239">
            <v>2</v>
          </cell>
        </row>
        <row r="240">
          <cell r="B240">
            <v>3</v>
          </cell>
          <cell r="C240">
            <v>4</v>
          </cell>
        </row>
        <row r="241">
          <cell r="B241">
            <v>1</v>
          </cell>
          <cell r="C241">
            <v>1</v>
          </cell>
        </row>
        <row r="242">
          <cell r="B242">
            <v>5</v>
          </cell>
          <cell r="C242">
            <v>3</v>
          </cell>
        </row>
        <row r="243">
          <cell r="B243">
            <v>6</v>
          </cell>
          <cell r="C243">
            <v>4</v>
          </cell>
        </row>
        <row r="244">
          <cell r="B244">
            <v>9</v>
          </cell>
          <cell r="C244">
            <v>10</v>
          </cell>
        </row>
        <row r="245">
          <cell r="B245">
            <v>4</v>
          </cell>
          <cell r="C245">
            <v>4</v>
          </cell>
        </row>
        <row r="246">
          <cell r="B246">
            <v>14</v>
          </cell>
          <cell r="C246">
            <v>4</v>
          </cell>
        </row>
        <row r="247">
          <cell r="B247">
            <v>4</v>
          </cell>
          <cell r="C247">
            <v>6</v>
          </cell>
        </row>
        <row r="248">
          <cell r="B248">
            <v>17</v>
          </cell>
          <cell r="C248">
            <v>6</v>
          </cell>
        </row>
        <row r="249">
          <cell r="B249">
            <v>4</v>
          </cell>
          <cell r="C249">
            <v>7</v>
          </cell>
        </row>
        <row r="250">
          <cell r="B250">
            <v>26</v>
          </cell>
          <cell r="C250">
            <v>9</v>
          </cell>
        </row>
        <row r="251">
          <cell r="B251">
            <v>7</v>
          </cell>
          <cell r="C251">
            <v>8</v>
          </cell>
        </row>
        <row r="252">
          <cell r="B252">
            <v>18</v>
          </cell>
          <cell r="C252">
            <v>22</v>
          </cell>
        </row>
        <row r="253">
          <cell r="B253">
            <v>19</v>
          </cell>
          <cell r="C253">
            <v>10</v>
          </cell>
        </row>
        <row r="254">
          <cell r="B254">
            <v>45</v>
          </cell>
          <cell r="C254">
            <v>33</v>
          </cell>
        </row>
        <row r="255">
          <cell r="B255">
            <v>42</v>
          </cell>
          <cell r="C255">
            <v>22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"/>
    </sheetNames>
    <sheetDataSet>
      <sheetData sheetId="0">
        <row r="2">
          <cell r="B2">
            <v>798</v>
          </cell>
          <cell r="C2">
            <v>841</v>
          </cell>
        </row>
        <row r="3">
          <cell r="B3">
            <v>602</v>
          </cell>
          <cell r="C3">
            <v>535</v>
          </cell>
        </row>
        <row r="4">
          <cell r="B4">
            <v>291</v>
          </cell>
          <cell r="C4">
            <v>397</v>
          </cell>
        </row>
        <row r="5">
          <cell r="B5">
            <v>226</v>
          </cell>
          <cell r="C5">
            <v>201</v>
          </cell>
        </row>
        <row r="6">
          <cell r="B6">
            <v>267</v>
          </cell>
          <cell r="C6">
            <v>313</v>
          </cell>
        </row>
        <row r="7">
          <cell r="B7">
            <v>229</v>
          </cell>
          <cell r="C7">
            <v>175</v>
          </cell>
        </row>
        <row r="8">
          <cell r="B8">
            <v>168</v>
          </cell>
          <cell r="C8">
            <v>201</v>
          </cell>
        </row>
        <row r="9">
          <cell r="B9">
            <v>116</v>
          </cell>
          <cell r="C9">
            <v>96</v>
          </cell>
        </row>
        <row r="10">
          <cell r="B10">
            <v>107</v>
          </cell>
          <cell r="C10">
            <v>146</v>
          </cell>
        </row>
        <row r="11">
          <cell r="B11">
            <v>103</v>
          </cell>
          <cell r="C11">
            <v>95</v>
          </cell>
        </row>
        <row r="12">
          <cell r="B12">
            <v>134</v>
          </cell>
          <cell r="C12">
            <v>174</v>
          </cell>
        </row>
        <row r="13">
          <cell r="B13">
            <v>137</v>
          </cell>
          <cell r="C13">
            <v>108</v>
          </cell>
        </row>
        <row r="14">
          <cell r="B14">
            <v>86</v>
          </cell>
          <cell r="C14">
            <v>116</v>
          </cell>
        </row>
        <row r="15">
          <cell r="B15">
            <v>95</v>
          </cell>
          <cell r="C15">
            <v>67</v>
          </cell>
        </row>
        <row r="16">
          <cell r="B16">
            <v>95</v>
          </cell>
          <cell r="C16">
            <v>101</v>
          </cell>
        </row>
        <row r="17">
          <cell r="B17">
            <v>72</v>
          </cell>
          <cell r="C17">
            <v>68</v>
          </cell>
        </row>
        <row r="18">
          <cell r="B18">
            <v>113</v>
          </cell>
          <cell r="C18">
            <v>136</v>
          </cell>
        </row>
        <row r="19">
          <cell r="B19">
            <v>93</v>
          </cell>
          <cell r="C19">
            <v>58</v>
          </cell>
        </row>
        <row r="20">
          <cell r="B20">
            <v>84</v>
          </cell>
          <cell r="C20">
            <v>112</v>
          </cell>
        </row>
        <row r="21">
          <cell r="B21">
            <v>78</v>
          </cell>
          <cell r="C21">
            <v>44</v>
          </cell>
        </row>
        <row r="22">
          <cell r="B22">
            <v>68</v>
          </cell>
          <cell r="C22">
            <v>69</v>
          </cell>
        </row>
        <row r="23">
          <cell r="B23">
            <v>53</v>
          </cell>
          <cell r="C23">
            <v>47</v>
          </cell>
        </row>
        <row r="24">
          <cell r="B24">
            <v>58</v>
          </cell>
          <cell r="C24">
            <v>58</v>
          </cell>
        </row>
        <row r="25">
          <cell r="B25">
            <v>42</v>
          </cell>
          <cell r="C25">
            <v>29</v>
          </cell>
        </row>
        <row r="26">
          <cell r="B26">
            <v>65</v>
          </cell>
          <cell r="C26">
            <v>61</v>
          </cell>
        </row>
        <row r="27">
          <cell r="B27">
            <v>43</v>
          </cell>
          <cell r="C27">
            <v>32</v>
          </cell>
        </row>
        <row r="28">
          <cell r="B28">
            <v>49</v>
          </cell>
          <cell r="C28">
            <v>51</v>
          </cell>
        </row>
        <row r="29">
          <cell r="B29">
            <v>51</v>
          </cell>
          <cell r="C29">
            <v>35</v>
          </cell>
        </row>
        <row r="30">
          <cell r="B30">
            <v>48</v>
          </cell>
          <cell r="C30">
            <v>44</v>
          </cell>
        </row>
        <row r="31">
          <cell r="B31">
            <v>40</v>
          </cell>
          <cell r="C31">
            <v>36</v>
          </cell>
        </row>
        <row r="32">
          <cell r="B32">
            <v>51</v>
          </cell>
          <cell r="C32">
            <v>48</v>
          </cell>
        </row>
        <row r="33">
          <cell r="B33">
            <v>25</v>
          </cell>
          <cell r="C33">
            <v>35</v>
          </cell>
        </row>
        <row r="34">
          <cell r="B34">
            <v>40</v>
          </cell>
          <cell r="C34">
            <v>45</v>
          </cell>
        </row>
        <row r="35">
          <cell r="B35">
            <v>38</v>
          </cell>
          <cell r="C35">
            <v>19</v>
          </cell>
        </row>
        <row r="36">
          <cell r="B36">
            <v>37</v>
          </cell>
          <cell r="C36">
            <v>33</v>
          </cell>
        </row>
        <row r="37">
          <cell r="B37">
            <v>29</v>
          </cell>
          <cell r="C37">
            <v>15</v>
          </cell>
        </row>
        <row r="38">
          <cell r="B38">
            <v>45</v>
          </cell>
          <cell r="C38">
            <v>50</v>
          </cell>
        </row>
        <row r="39">
          <cell r="B39">
            <v>27</v>
          </cell>
          <cell r="C39">
            <v>22</v>
          </cell>
        </row>
        <row r="40">
          <cell r="B40">
            <v>34</v>
          </cell>
          <cell r="C40">
            <v>31</v>
          </cell>
        </row>
        <row r="41">
          <cell r="B41">
            <v>29</v>
          </cell>
          <cell r="C41">
            <v>19</v>
          </cell>
        </row>
        <row r="42">
          <cell r="B42">
            <v>31</v>
          </cell>
          <cell r="C42">
            <v>26</v>
          </cell>
        </row>
        <row r="43">
          <cell r="B43">
            <v>34</v>
          </cell>
          <cell r="C43">
            <v>24</v>
          </cell>
        </row>
        <row r="44">
          <cell r="B44">
            <v>34</v>
          </cell>
          <cell r="C44">
            <v>27</v>
          </cell>
        </row>
        <row r="45">
          <cell r="B45">
            <v>19</v>
          </cell>
          <cell r="C45">
            <v>21</v>
          </cell>
        </row>
        <row r="46">
          <cell r="B46">
            <v>35</v>
          </cell>
          <cell r="C46">
            <v>30</v>
          </cell>
        </row>
        <row r="47">
          <cell r="B47">
            <v>31</v>
          </cell>
          <cell r="C47">
            <v>11</v>
          </cell>
        </row>
        <row r="48">
          <cell r="B48">
            <v>30</v>
          </cell>
          <cell r="C48">
            <v>33</v>
          </cell>
        </row>
        <row r="49">
          <cell r="B49">
            <v>26</v>
          </cell>
          <cell r="C49">
            <v>19</v>
          </cell>
        </row>
        <row r="50">
          <cell r="B50">
            <v>35</v>
          </cell>
          <cell r="C50">
            <v>32</v>
          </cell>
        </row>
        <row r="51">
          <cell r="B51">
            <v>26</v>
          </cell>
          <cell r="C51">
            <v>17</v>
          </cell>
        </row>
        <row r="52">
          <cell r="B52">
            <v>30</v>
          </cell>
          <cell r="C52">
            <v>39</v>
          </cell>
        </row>
        <row r="53">
          <cell r="B53">
            <v>21</v>
          </cell>
          <cell r="C53">
            <v>22</v>
          </cell>
        </row>
        <row r="54">
          <cell r="B54">
            <v>35</v>
          </cell>
          <cell r="C54">
            <v>28</v>
          </cell>
        </row>
        <row r="55">
          <cell r="B55">
            <v>22</v>
          </cell>
          <cell r="C55">
            <v>18</v>
          </cell>
        </row>
        <row r="56">
          <cell r="B56">
            <v>31</v>
          </cell>
          <cell r="C56">
            <v>30</v>
          </cell>
        </row>
        <row r="57">
          <cell r="B57">
            <v>27</v>
          </cell>
          <cell r="C57">
            <v>17</v>
          </cell>
        </row>
        <row r="58">
          <cell r="B58">
            <v>28</v>
          </cell>
          <cell r="C58">
            <v>27</v>
          </cell>
        </row>
        <row r="59">
          <cell r="B59">
            <v>28</v>
          </cell>
          <cell r="C59">
            <v>15</v>
          </cell>
        </row>
        <row r="60">
          <cell r="B60">
            <v>41</v>
          </cell>
          <cell r="C60">
            <v>25</v>
          </cell>
        </row>
        <row r="61">
          <cell r="B61">
            <v>24</v>
          </cell>
          <cell r="C61">
            <v>17</v>
          </cell>
        </row>
        <row r="62">
          <cell r="B62">
            <v>40</v>
          </cell>
          <cell r="C62">
            <v>27</v>
          </cell>
        </row>
        <row r="63">
          <cell r="B63">
            <v>20</v>
          </cell>
          <cell r="C63">
            <v>17</v>
          </cell>
        </row>
        <row r="64">
          <cell r="B64">
            <v>30</v>
          </cell>
          <cell r="C64">
            <v>23</v>
          </cell>
        </row>
        <row r="65">
          <cell r="B65">
            <v>22</v>
          </cell>
          <cell r="C65">
            <v>13</v>
          </cell>
        </row>
        <row r="66">
          <cell r="B66">
            <v>30</v>
          </cell>
          <cell r="C66">
            <v>20</v>
          </cell>
        </row>
        <row r="67">
          <cell r="B67">
            <v>19</v>
          </cell>
          <cell r="C67">
            <v>12</v>
          </cell>
        </row>
        <row r="68">
          <cell r="B68">
            <v>18</v>
          </cell>
          <cell r="C68">
            <v>21</v>
          </cell>
        </row>
        <row r="69">
          <cell r="B69">
            <v>17</v>
          </cell>
          <cell r="C69">
            <v>16</v>
          </cell>
        </row>
        <row r="70">
          <cell r="B70">
            <v>22</v>
          </cell>
          <cell r="C70">
            <v>17</v>
          </cell>
        </row>
        <row r="71">
          <cell r="B71">
            <v>22</v>
          </cell>
          <cell r="C71">
            <v>15</v>
          </cell>
        </row>
        <row r="72">
          <cell r="B72">
            <v>19</v>
          </cell>
          <cell r="C72">
            <v>26</v>
          </cell>
        </row>
        <row r="73">
          <cell r="B73">
            <v>19</v>
          </cell>
          <cell r="C73">
            <v>7</v>
          </cell>
        </row>
        <row r="74">
          <cell r="B74">
            <v>21</v>
          </cell>
          <cell r="C74">
            <v>21</v>
          </cell>
        </row>
        <row r="75">
          <cell r="B75">
            <v>18</v>
          </cell>
          <cell r="C75">
            <v>15</v>
          </cell>
        </row>
        <row r="76">
          <cell r="B76">
            <v>25</v>
          </cell>
          <cell r="C76">
            <v>19</v>
          </cell>
        </row>
        <row r="77">
          <cell r="B77">
            <v>26</v>
          </cell>
          <cell r="C77">
            <v>17</v>
          </cell>
        </row>
        <row r="78">
          <cell r="B78">
            <v>32</v>
          </cell>
          <cell r="C78">
            <v>24</v>
          </cell>
        </row>
        <row r="79">
          <cell r="B79">
            <v>20</v>
          </cell>
          <cell r="C79">
            <v>16</v>
          </cell>
        </row>
        <row r="80">
          <cell r="B80">
            <v>20</v>
          </cell>
          <cell r="C80">
            <v>19</v>
          </cell>
        </row>
        <row r="81">
          <cell r="B81">
            <v>22</v>
          </cell>
          <cell r="C81">
            <v>13</v>
          </cell>
        </row>
        <row r="82">
          <cell r="B82">
            <v>30</v>
          </cell>
          <cell r="C82">
            <v>17</v>
          </cell>
        </row>
        <row r="83">
          <cell r="B83">
            <v>19</v>
          </cell>
          <cell r="C83">
            <v>15</v>
          </cell>
        </row>
        <row r="84">
          <cell r="B84">
            <v>24</v>
          </cell>
          <cell r="C84">
            <v>22</v>
          </cell>
        </row>
        <row r="85">
          <cell r="B85">
            <v>12</v>
          </cell>
          <cell r="C85">
            <v>16</v>
          </cell>
        </row>
        <row r="86">
          <cell r="B86">
            <v>27</v>
          </cell>
          <cell r="C86">
            <v>24</v>
          </cell>
        </row>
        <row r="87">
          <cell r="B87">
            <v>16</v>
          </cell>
          <cell r="C87">
            <v>13</v>
          </cell>
        </row>
        <row r="88">
          <cell r="B88">
            <v>25</v>
          </cell>
          <cell r="C88">
            <v>26</v>
          </cell>
        </row>
        <row r="89">
          <cell r="B89">
            <v>12</v>
          </cell>
          <cell r="C89">
            <v>11</v>
          </cell>
        </row>
        <row r="90">
          <cell r="B90">
            <v>22</v>
          </cell>
          <cell r="C90">
            <v>18</v>
          </cell>
        </row>
        <row r="91">
          <cell r="B91">
            <v>11</v>
          </cell>
          <cell r="C91">
            <v>17</v>
          </cell>
        </row>
        <row r="92">
          <cell r="B92">
            <v>20</v>
          </cell>
          <cell r="C92">
            <v>22</v>
          </cell>
        </row>
        <row r="93">
          <cell r="B93">
            <v>22</v>
          </cell>
          <cell r="C93">
            <v>11</v>
          </cell>
        </row>
        <row r="94">
          <cell r="B94">
            <v>21</v>
          </cell>
          <cell r="C94">
            <v>13</v>
          </cell>
        </row>
        <row r="95">
          <cell r="B95">
            <v>12</v>
          </cell>
          <cell r="C95">
            <v>14</v>
          </cell>
        </row>
        <row r="96">
          <cell r="B96">
            <v>23</v>
          </cell>
          <cell r="C96">
            <v>26</v>
          </cell>
        </row>
        <row r="97">
          <cell r="B97">
            <v>21</v>
          </cell>
          <cell r="C97">
            <v>13</v>
          </cell>
        </row>
        <row r="98">
          <cell r="B98">
            <v>18</v>
          </cell>
          <cell r="C98">
            <v>19</v>
          </cell>
        </row>
        <row r="99">
          <cell r="B99">
            <v>20</v>
          </cell>
          <cell r="C99">
            <v>13</v>
          </cell>
        </row>
        <row r="100">
          <cell r="B100">
            <v>23</v>
          </cell>
          <cell r="C100">
            <v>21</v>
          </cell>
        </row>
        <row r="101">
          <cell r="B101">
            <v>29</v>
          </cell>
          <cell r="C101">
            <v>15</v>
          </cell>
        </row>
        <row r="102">
          <cell r="B102">
            <v>23</v>
          </cell>
          <cell r="C102">
            <v>13</v>
          </cell>
        </row>
        <row r="103">
          <cell r="B103">
            <v>13</v>
          </cell>
          <cell r="C103">
            <v>13</v>
          </cell>
        </row>
        <row r="104">
          <cell r="B104">
            <v>20</v>
          </cell>
          <cell r="C104">
            <v>24</v>
          </cell>
        </row>
        <row r="105">
          <cell r="B105">
            <v>15</v>
          </cell>
          <cell r="C105">
            <v>15</v>
          </cell>
        </row>
        <row r="106">
          <cell r="B106">
            <v>16</v>
          </cell>
          <cell r="C106">
            <v>18</v>
          </cell>
        </row>
        <row r="107">
          <cell r="B107">
            <v>15</v>
          </cell>
          <cell r="C107">
            <v>9</v>
          </cell>
        </row>
        <row r="108">
          <cell r="B108">
            <v>23</v>
          </cell>
          <cell r="C108">
            <v>20</v>
          </cell>
        </row>
        <row r="109">
          <cell r="B109">
            <v>17</v>
          </cell>
          <cell r="C109">
            <v>11</v>
          </cell>
        </row>
        <row r="110">
          <cell r="B110">
            <v>27</v>
          </cell>
          <cell r="C110">
            <v>23</v>
          </cell>
        </row>
        <row r="111">
          <cell r="B111">
            <v>15</v>
          </cell>
          <cell r="C111">
            <v>13</v>
          </cell>
        </row>
        <row r="112">
          <cell r="B112">
            <v>23</v>
          </cell>
          <cell r="C112">
            <v>21</v>
          </cell>
        </row>
        <row r="113">
          <cell r="B113">
            <v>14</v>
          </cell>
          <cell r="C113">
            <v>14</v>
          </cell>
        </row>
        <row r="114">
          <cell r="B114">
            <v>21</v>
          </cell>
          <cell r="C114">
            <v>13</v>
          </cell>
        </row>
        <row r="115">
          <cell r="B115">
            <v>12</v>
          </cell>
          <cell r="C115">
            <v>12</v>
          </cell>
        </row>
        <row r="116">
          <cell r="B116">
            <v>25</v>
          </cell>
          <cell r="C116">
            <v>12</v>
          </cell>
        </row>
        <row r="117">
          <cell r="B117">
            <v>17</v>
          </cell>
          <cell r="C117">
            <v>11</v>
          </cell>
        </row>
        <row r="118">
          <cell r="B118">
            <v>20</v>
          </cell>
          <cell r="C118">
            <v>16</v>
          </cell>
        </row>
        <row r="119">
          <cell r="B119">
            <v>14</v>
          </cell>
          <cell r="C119">
            <v>10</v>
          </cell>
        </row>
        <row r="120">
          <cell r="B120">
            <v>21</v>
          </cell>
          <cell r="C120">
            <v>17</v>
          </cell>
        </row>
        <row r="121">
          <cell r="B121">
            <v>11</v>
          </cell>
          <cell r="C121">
            <v>13</v>
          </cell>
        </row>
        <row r="122">
          <cell r="B122">
            <v>14</v>
          </cell>
          <cell r="C122">
            <v>10</v>
          </cell>
        </row>
        <row r="123">
          <cell r="B123">
            <v>18</v>
          </cell>
          <cell r="C123">
            <v>14</v>
          </cell>
        </row>
        <row r="124">
          <cell r="B124">
            <v>24</v>
          </cell>
          <cell r="C124">
            <v>15</v>
          </cell>
        </row>
        <row r="125">
          <cell r="B125">
            <v>12</v>
          </cell>
          <cell r="C125">
            <v>13</v>
          </cell>
        </row>
        <row r="126">
          <cell r="B126">
            <v>16</v>
          </cell>
          <cell r="C126">
            <v>21</v>
          </cell>
        </row>
        <row r="127">
          <cell r="B127">
            <v>13</v>
          </cell>
          <cell r="C127">
            <v>12</v>
          </cell>
        </row>
        <row r="128">
          <cell r="B128">
            <v>29</v>
          </cell>
          <cell r="C128">
            <v>21</v>
          </cell>
        </row>
        <row r="129">
          <cell r="B129">
            <v>9</v>
          </cell>
          <cell r="C129">
            <v>16</v>
          </cell>
        </row>
        <row r="130">
          <cell r="B130">
            <v>32</v>
          </cell>
          <cell r="C130">
            <v>19</v>
          </cell>
        </row>
        <row r="131">
          <cell r="B131">
            <v>16</v>
          </cell>
          <cell r="C131">
            <v>11</v>
          </cell>
        </row>
        <row r="132">
          <cell r="B132">
            <v>19</v>
          </cell>
          <cell r="C132">
            <v>12</v>
          </cell>
        </row>
        <row r="133">
          <cell r="B133">
            <v>15</v>
          </cell>
          <cell r="C133">
            <v>19</v>
          </cell>
        </row>
        <row r="134">
          <cell r="B134">
            <v>22</v>
          </cell>
          <cell r="C134">
            <v>15</v>
          </cell>
        </row>
        <row r="135">
          <cell r="B135">
            <v>18</v>
          </cell>
          <cell r="C135">
            <v>12</v>
          </cell>
        </row>
        <row r="136">
          <cell r="B136">
            <v>14</v>
          </cell>
          <cell r="C136">
            <v>9</v>
          </cell>
        </row>
        <row r="137">
          <cell r="B137">
            <v>14</v>
          </cell>
          <cell r="C137">
            <v>10</v>
          </cell>
        </row>
        <row r="138">
          <cell r="B138">
            <v>25</v>
          </cell>
          <cell r="C138">
            <v>12</v>
          </cell>
        </row>
        <row r="139">
          <cell r="B139">
            <v>12</v>
          </cell>
          <cell r="C139">
            <v>7</v>
          </cell>
        </row>
        <row r="140">
          <cell r="B140">
            <v>26</v>
          </cell>
          <cell r="C140">
            <v>13</v>
          </cell>
        </row>
        <row r="141">
          <cell r="B141">
            <v>11</v>
          </cell>
          <cell r="C141">
            <v>12</v>
          </cell>
        </row>
        <row r="142">
          <cell r="B142">
            <v>21</v>
          </cell>
          <cell r="C142">
            <v>8</v>
          </cell>
        </row>
        <row r="143">
          <cell r="B143">
            <v>11</v>
          </cell>
          <cell r="C143">
            <v>11</v>
          </cell>
        </row>
        <row r="144">
          <cell r="B144">
            <v>30</v>
          </cell>
          <cell r="C144">
            <v>13</v>
          </cell>
        </row>
        <row r="145">
          <cell r="B145">
            <v>10</v>
          </cell>
          <cell r="C145">
            <v>13</v>
          </cell>
        </row>
        <row r="146">
          <cell r="B146">
            <v>25</v>
          </cell>
          <cell r="C146">
            <v>16</v>
          </cell>
        </row>
        <row r="147">
          <cell r="B147">
            <v>19</v>
          </cell>
          <cell r="C147">
            <v>15</v>
          </cell>
        </row>
        <row r="148">
          <cell r="B148">
            <v>23</v>
          </cell>
          <cell r="C148">
            <v>23</v>
          </cell>
        </row>
        <row r="149">
          <cell r="B149">
            <v>13</v>
          </cell>
          <cell r="C149">
            <v>9</v>
          </cell>
        </row>
        <row r="150">
          <cell r="B150">
            <v>18</v>
          </cell>
          <cell r="C150">
            <v>24</v>
          </cell>
        </row>
        <row r="151">
          <cell r="B151">
            <v>21</v>
          </cell>
          <cell r="C151">
            <v>13</v>
          </cell>
        </row>
        <row r="152">
          <cell r="B152">
            <v>21</v>
          </cell>
          <cell r="C152">
            <v>12</v>
          </cell>
        </row>
        <row r="153">
          <cell r="B153">
            <v>20</v>
          </cell>
          <cell r="C153">
            <v>9</v>
          </cell>
        </row>
        <row r="154">
          <cell r="B154">
            <v>18</v>
          </cell>
          <cell r="C154">
            <v>21</v>
          </cell>
        </row>
        <row r="155">
          <cell r="B155">
            <v>12</v>
          </cell>
          <cell r="C155">
            <v>17</v>
          </cell>
        </row>
        <row r="156">
          <cell r="B156">
            <v>20</v>
          </cell>
          <cell r="C156">
            <v>17</v>
          </cell>
        </row>
        <row r="157">
          <cell r="B157">
            <v>7</v>
          </cell>
          <cell r="C157">
            <v>8</v>
          </cell>
        </row>
        <row r="158">
          <cell r="B158">
            <v>22</v>
          </cell>
          <cell r="C158">
            <v>16</v>
          </cell>
        </row>
        <row r="159">
          <cell r="B159">
            <v>7</v>
          </cell>
          <cell r="C159">
            <v>5</v>
          </cell>
        </row>
        <row r="160">
          <cell r="B160">
            <v>15</v>
          </cell>
          <cell r="C160">
            <v>11</v>
          </cell>
        </row>
        <row r="161">
          <cell r="B161">
            <v>11</v>
          </cell>
          <cell r="C161">
            <v>10</v>
          </cell>
        </row>
        <row r="162">
          <cell r="B162">
            <v>28</v>
          </cell>
          <cell r="C162">
            <v>10</v>
          </cell>
        </row>
        <row r="163">
          <cell r="B163">
            <v>14</v>
          </cell>
          <cell r="C163">
            <v>8</v>
          </cell>
        </row>
        <row r="164">
          <cell r="B164">
            <v>24</v>
          </cell>
          <cell r="C164">
            <v>19</v>
          </cell>
        </row>
        <row r="165">
          <cell r="B165">
            <v>11</v>
          </cell>
          <cell r="C165">
            <v>13</v>
          </cell>
        </row>
        <row r="166">
          <cell r="B166">
            <v>17</v>
          </cell>
          <cell r="C166">
            <v>10</v>
          </cell>
        </row>
        <row r="167">
          <cell r="B167">
            <v>11</v>
          </cell>
          <cell r="C167">
            <v>11</v>
          </cell>
        </row>
        <row r="168">
          <cell r="B168">
            <v>19</v>
          </cell>
          <cell r="C168">
            <v>17</v>
          </cell>
        </row>
        <row r="169">
          <cell r="B169">
            <v>12</v>
          </cell>
          <cell r="C169">
            <v>17</v>
          </cell>
        </row>
        <row r="170">
          <cell r="B170">
            <v>24</v>
          </cell>
          <cell r="C170">
            <v>11</v>
          </cell>
        </row>
        <row r="171">
          <cell r="B171">
            <v>19</v>
          </cell>
          <cell r="C171">
            <v>10</v>
          </cell>
        </row>
        <row r="172">
          <cell r="B172">
            <v>17</v>
          </cell>
          <cell r="C172">
            <v>19</v>
          </cell>
        </row>
        <row r="173">
          <cell r="B173">
            <v>7</v>
          </cell>
          <cell r="C173">
            <v>12</v>
          </cell>
        </row>
        <row r="174">
          <cell r="B174">
            <v>14</v>
          </cell>
          <cell r="C174">
            <v>21</v>
          </cell>
        </row>
        <row r="175">
          <cell r="B175">
            <v>10</v>
          </cell>
          <cell r="C175">
            <v>14</v>
          </cell>
        </row>
        <row r="176">
          <cell r="B176">
            <v>17</v>
          </cell>
          <cell r="C176">
            <v>21</v>
          </cell>
        </row>
        <row r="177">
          <cell r="B177">
            <v>8</v>
          </cell>
          <cell r="C177">
            <v>12</v>
          </cell>
        </row>
        <row r="178">
          <cell r="B178">
            <v>21</v>
          </cell>
          <cell r="C178">
            <v>19</v>
          </cell>
        </row>
        <row r="179">
          <cell r="B179">
            <v>11</v>
          </cell>
          <cell r="C179">
            <v>10</v>
          </cell>
        </row>
        <row r="180">
          <cell r="B180">
            <v>21</v>
          </cell>
          <cell r="C180">
            <v>14</v>
          </cell>
        </row>
        <row r="181">
          <cell r="B181">
            <v>16</v>
          </cell>
          <cell r="C181">
            <v>13</v>
          </cell>
        </row>
        <row r="182">
          <cell r="B182">
            <v>20</v>
          </cell>
          <cell r="C182">
            <v>8</v>
          </cell>
        </row>
        <row r="183">
          <cell r="B183">
            <v>13</v>
          </cell>
          <cell r="C183">
            <v>12</v>
          </cell>
        </row>
        <row r="184">
          <cell r="B184">
            <v>15</v>
          </cell>
          <cell r="C184">
            <v>17</v>
          </cell>
        </row>
        <row r="185">
          <cell r="B185">
            <v>10</v>
          </cell>
          <cell r="C185">
            <v>10</v>
          </cell>
        </row>
        <row r="186">
          <cell r="B186">
            <v>18</v>
          </cell>
          <cell r="C186">
            <v>23</v>
          </cell>
        </row>
        <row r="187">
          <cell r="B187">
            <v>4</v>
          </cell>
          <cell r="C187">
            <v>10</v>
          </cell>
        </row>
        <row r="188">
          <cell r="B188">
            <v>17</v>
          </cell>
          <cell r="C188">
            <v>18</v>
          </cell>
        </row>
        <row r="189">
          <cell r="B189">
            <v>13</v>
          </cell>
          <cell r="C189">
            <v>14</v>
          </cell>
        </row>
        <row r="190">
          <cell r="B190">
            <v>18</v>
          </cell>
          <cell r="C190">
            <v>9</v>
          </cell>
        </row>
        <row r="191">
          <cell r="B191">
            <v>14</v>
          </cell>
          <cell r="C191">
            <v>11</v>
          </cell>
        </row>
        <row r="192">
          <cell r="B192">
            <v>24</v>
          </cell>
          <cell r="C192">
            <v>15</v>
          </cell>
        </row>
        <row r="193">
          <cell r="B193">
            <v>10</v>
          </cell>
          <cell r="C193">
            <v>19</v>
          </cell>
        </row>
        <row r="194">
          <cell r="B194">
            <v>22</v>
          </cell>
          <cell r="C194">
            <v>20</v>
          </cell>
        </row>
        <row r="195">
          <cell r="B195">
            <v>18</v>
          </cell>
          <cell r="C195">
            <v>13</v>
          </cell>
        </row>
        <row r="196">
          <cell r="B196">
            <v>22</v>
          </cell>
          <cell r="C196">
            <v>11</v>
          </cell>
        </row>
        <row r="197">
          <cell r="B197">
            <v>15</v>
          </cell>
          <cell r="C197">
            <v>13</v>
          </cell>
        </row>
        <row r="198">
          <cell r="B198">
            <v>27</v>
          </cell>
          <cell r="C198">
            <v>14</v>
          </cell>
        </row>
        <row r="199">
          <cell r="B199">
            <v>14</v>
          </cell>
          <cell r="C199">
            <v>18</v>
          </cell>
        </row>
        <row r="200">
          <cell r="B200">
            <v>25</v>
          </cell>
          <cell r="C200">
            <v>16</v>
          </cell>
        </row>
        <row r="201">
          <cell r="B201">
            <v>10</v>
          </cell>
          <cell r="C201">
            <v>14</v>
          </cell>
        </row>
        <row r="202">
          <cell r="B202">
            <v>14</v>
          </cell>
          <cell r="C202">
            <v>22</v>
          </cell>
        </row>
        <row r="203">
          <cell r="B203">
            <v>9</v>
          </cell>
          <cell r="C203">
            <v>20</v>
          </cell>
        </row>
        <row r="204">
          <cell r="B204">
            <v>25</v>
          </cell>
          <cell r="C204">
            <v>15</v>
          </cell>
        </row>
        <row r="205">
          <cell r="B205">
            <v>24</v>
          </cell>
          <cell r="C205">
            <v>16</v>
          </cell>
        </row>
        <row r="206">
          <cell r="B206">
            <v>17</v>
          </cell>
          <cell r="C206">
            <v>17</v>
          </cell>
        </row>
        <row r="207">
          <cell r="B207">
            <v>15</v>
          </cell>
          <cell r="C207">
            <v>14</v>
          </cell>
        </row>
        <row r="208">
          <cell r="B208">
            <v>24</v>
          </cell>
          <cell r="C208">
            <v>21</v>
          </cell>
        </row>
        <row r="209">
          <cell r="B209">
            <v>17</v>
          </cell>
          <cell r="C209">
            <v>15</v>
          </cell>
        </row>
        <row r="210">
          <cell r="B210">
            <v>15</v>
          </cell>
          <cell r="C210">
            <v>16</v>
          </cell>
        </row>
        <row r="211">
          <cell r="B211">
            <v>16</v>
          </cell>
          <cell r="C211">
            <v>12</v>
          </cell>
        </row>
        <row r="212">
          <cell r="B212">
            <v>25</v>
          </cell>
          <cell r="C212">
            <v>17</v>
          </cell>
        </row>
        <row r="213">
          <cell r="B213">
            <v>11</v>
          </cell>
          <cell r="C213">
            <v>12</v>
          </cell>
        </row>
        <row r="214">
          <cell r="B214">
            <v>32</v>
          </cell>
          <cell r="C214">
            <v>17</v>
          </cell>
        </row>
        <row r="215">
          <cell r="B215">
            <v>13</v>
          </cell>
          <cell r="C215">
            <v>7</v>
          </cell>
        </row>
        <row r="216">
          <cell r="B216">
            <v>25</v>
          </cell>
          <cell r="C216">
            <v>14</v>
          </cell>
        </row>
        <row r="217">
          <cell r="B217">
            <v>9</v>
          </cell>
          <cell r="C217">
            <v>8</v>
          </cell>
        </row>
        <row r="218">
          <cell r="B218">
            <v>28</v>
          </cell>
          <cell r="C218">
            <v>17</v>
          </cell>
        </row>
        <row r="219">
          <cell r="B219">
            <v>22</v>
          </cell>
          <cell r="C219">
            <v>13</v>
          </cell>
        </row>
        <row r="220">
          <cell r="B220">
            <v>17</v>
          </cell>
          <cell r="C220">
            <v>16</v>
          </cell>
        </row>
        <row r="221">
          <cell r="B221">
            <v>16</v>
          </cell>
          <cell r="C221">
            <v>13</v>
          </cell>
        </row>
        <row r="222">
          <cell r="B222">
            <v>39</v>
          </cell>
          <cell r="C222">
            <v>23</v>
          </cell>
        </row>
        <row r="223">
          <cell r="B223">
            <v>11</v>
          </cell>
          <cell r="C223">
            <v>18</v>
          </cell>
        </row>
        <row r="224">
          <cell r="B224">
            <v>41</v>
          </cell>
          <cell r="C224">
            <v>20</v>
          </cell>
        </row>
        <row r="225">
          <cell r="B225">
            <v>22</v>
          </cell>
          <cell r="C225">
            <v>20</v>
          </cell>
        </row>
        <row r="226">
          <cell r="B226">
            <v>33</v>
          </cell>
          <cell r="C226">
            <v>22</v>
          </cell>
        </row>
        <row r="227">
          <cell r="B227">
            <v>17</v>
          </cell>
          <cell r="C227">
            <v>9</v>
          </cell>
        </row>
        <row r="228">
          <cell r="B228">
            <v>42</v>
          </cell>
          <cell r="C228">
            <v>25</v>
          </cell>
        </row>
        <row r="229">
          <cell r="B229">
            <v>25</v>
          </cell>
          <cell r="C229">
            <v>15</v>
          </cell>
        </row>
        <row r="230">
          <cell r="B230">
            <v>45</v>
          </cell>
          <cell r="C230">
            <v>23</v>
          </cell>
        </row>
        <row r="231">
          <cell r="B231">
            <v>25</v>
          </cell>
          <cell r="C231">
            <v>22</v>
          </cell>
        </row>
        <row r="232">
          <cell r="B232">
            <v>21</v>
          </cell>
          <cell r="C232">
            <v>22</v>
          </cell>
        </row>
        <row r="233">
          <cell r="B233">
            <v>17</v>
          </cell>
          <cell r="C233">
            <v>13</v>
          </cell>
        </row>
        <row r="234">
          <cell r="B234">
            <v>41</v>
          </cell>
          <cell r="C234">
            <v>23</v>
          </cell>
        </row>
        <row r="235">
          <cell r="B235">
            <v>23</v>
          </cell>
          <cell r="C235">
            <v>21</v>
          </cell>
        </row>
        <row r="236">
          <cell r="B236">
            <v>54</v>
          </cell>
          <cell r="C236">
            <v>27</v>
          </cell>
        </row>
        <row r="237">
          <cell r="B237">
            <v>27</v>
          </cell>
          <cell r="C237">
            <v>16</v>
          </cell>
        </row>
        <row r="238">
          <cell r="B238">
            <v>54</v>
          </cell>
          <cell r="C238">
            <v>25</v>
          </cell>
        </row>
        <row r="239">
          <cell r="B239">
            <v>27</v>
          </cell>
          <cell r="C239">
            <v>19</v>
          </cell>
        </row>
        <row r="240">
          <cell r="B240">
            <v>33</v>
          </cell>
          <cell r="C240">
            <v>16</v>
          </cell>
        </row>
        <row r="241">
          <cell r="B241">
            <v>16</v>
          </cell>
          <cell r="C241">
            <v>17</v>
          </cell>
        </row>
        <row r="242">
          <cell r="B242">
            <v>40</v>
          </cell>
          <cell r="C242">
            <v>20</v>
          </cell>
        </row>
        <row r="243">
          <cell r="B243">
            <v>28</v>
          </cell>
          <cell r="C243">
            <v>17</v>
          </cell>
        </row>
        <row r="244">
          <cell r="B244">
            <v>70</v>
          </cell>
          <cell r="C244">
            <v>31</v>
          </cell>
        </row>
        <row r="245">
          <cell r="B245">
            <v>35</v>
          </cell>
          <cell r="C245">
            <v>22</v>
          </cell>
        </row>
        <row r="246">
          <cell r="B246">
            <v>58</v>
          </cell>
          <cell r="C246">
            <v>21</v>
          </cell>
        </row>
        <row r="247">
          <cell r="B247">
            <v>37</v>
          </cell>
          <cell r="C247">
            <v>26</v>
          </cell>
        </row>
        <row r="248">
          <cell r="B248">
            <v>74</v>
          </cell>
          <cell r="C248">
            <v>36</v>
          </cell>
        </row>
        <row r="249">
          <cell r="B249">
            <v>39</v>
          </cell>
          <cell r="C249">
            <v>14</v>
          </cell>
        </row>
        <row r="250">
          <cell r="B250">
            <v>106</v>
          </cell>
          <cell r="C250">
            <v>65</v>
          </cell>
        </row>
        <row r="251">
          <cell r="B251">
            <v>74</v>
          </cell>
          <cell r="C251">
            <v>46</v>
          </cell>
        </row>
        <row r="252">
          <cell r="B252">
            <v>135</v>
          </cell>
          <cell r="C252">
            <v>47</v>
          </cell>
        </row>
        <row r="253">
          <cell r="B253">
            <v>73</v>
          </cell>
          <cell r="C253">
            <v>43</v>
          </cell>
        </row>
        <row r="254">
          <cell r="B254">
            <v>340</v>
          </cell>
          <cell r="C254">
            <v>195</v>
          </cell>
        </row>
        <row r="255">
          <cell r="B255">
            <v>197</v>
          </cell>
          <cell r="C255">
            <v>142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"/>
    </sheetNames>
    <sheetDataSet>
      <sheetData sheetId="0">
        <row r="2">
          <cell r="B2">
            <v>747</v>
          </cell>
          <cell r="C2">
            <v>1287</v>
          </cell>
        </row>
        <row r="3">
          <cell r="B3">
            <v>673</v>
          </cell>
          <cell r="C3">
            <v>636</v>
          </cell>
        </row>
        <row r="4">
          <cell r="B4">
            <v>330</v>
          </cell>
          <cell r="C4">
            <v>574</v>
          </cell>
        </row>
        <row r="5">
          <cell r="B5">
            <v>303</v>
          </cell>
          <cell r="C5">
            <v>268</v>
          </cell>
        </row>
        <row r="6">
          <cell r="B6">
            <v>241</v>
          </cell>
          <cell r="C6">
            <v>458</v>
          </cell>
        </row>
        <row r="7">
          <cell r="B7">
            <v>244</v>
          </cell>
          <cell r="C7">
            <v>213</v>
          </cell>
        </row>
        <row r="8">
          <cell r="B8">
            <v>163</v>
          </cell>
          <cell r="C8">
            <v>301</v>
          </cell>
        </row>
        <row r="9">
          <cell r="B9">
            <v>156</v>
          </cell>
          <cell r="C9">
            <v>147</v>
          </cell>
        </row>
        <row r="10">
          <cell r="B10">
            <v>107</v>
          </cell>
          <cell r="C10">
            <v>197</v>
          </cell>
        </row>
        <row r="11">
          <cell r="B11">
            <v>122</v>
          </cell>
          <cell r="C11">
            <v>109</v>
          </cell>
        </row>
        <row r="12">
          <cell r="B12">
            <v>119</v>
          </cell>
          <cell r="C12">
            <v>235</v>
          </cell>
        </row>
        <row r="13">
          <cell r="B13">
            <v>105</v>
          </cell>
          <cell r="C13">
            <v>104</v>
          </cell>
        </row>
        <row r="14">
          <cell r="B14">
            <v>77</v>
          </cell>
          <cell r="C14">
            <v>144</v>
          </cell>
        </row>
        <row r="15">
          <cell r="B15">
            <v>83</v>
          </cell>
          <cell r="C15">
            <v>66</v>
          </cell>
        </row>
        <row r="16">
          <cell r="B16">
            <v>66</v>
          </cell>
          <cell r="C16">
            <v>134</v>
          </cell>
        </row>
        <row r="17">
          <cell r="B17">
            <v>70</v>
          </cell>
          <cell r="C17">
            <v>60</v>
          </cell>
        </row>
        <row r="18">
          <cell r="B18">
            <v>58</v>
          </cell>
          <cell r="C18">
            <v>128</v>
          </cell>
        </row>
        <row r="19">
          <cell r="B19">
            <v>70</v>
          </cell>
          <cell r="C19">
            <v>66</v>
          </cell>
        </row>
        <row r="20">
          <cell r="B20">
            <v>59</v>
          </cell>
          <cell r="C20">
            <v>99</v>
          </cell>
        </row>
        <row r="21">
          <cell r="B21">
            <v>56</v>
          </cell>
          <cell r="C21">
            <v>32</v>
          </cell>
        </row>
        <row r="22">
          <cell r="B22">
            <v>37</v>
          </cell>
          <cell r="C22">
            <v>68</v>
          </cell>
        </row>
        <row r="23">
          <cell r="B23">
            <v>44</v>
          </cell>
          <cell r="C23">
            <v>35</v>
          </cell>
        </row>
        <row r="24">
          <cell r="B24">
            <v>23</v>
          </cell>
          <cell r="C24">
            <v>59</v>
          </cell>
        </row>
        <row r="25">
          <cell r="B25">
            <v>32</v>
          </cell>
          <cell r="C25">
            <v>33</v>
          </cell>
        </row>
        <row r="26">
          <cell r="B26">
            <v>38</v>
          </cell>
          <cell r="C26">
            <v>49</v>
          </cell>
        </row>
        <row r="27">
          <cell r="B27">
            <v>33</v>
          </cell>
          <cell r="C27">
            <v>21</v>
          </cell>
        </row>
        <row r="28">
          <cell r="B28">
            <v>32</v>
          </cell>
          <cell r="C28">
            <v>51</v>
          </cell>
        </row>
        <row r="29">
          <cell r="B29">
            <v>30</v>
          </cell>
          <cell r="C29">
            <v>25</v>
          </cell>
        </row>
        <row r="30">
          <cell r="B30">
            <v>22</v>
          </cell>
          <cell r="C30">
            <v>51</v>
          </cell>
        </row>
        <row r="31">
          <cell r="B31">
            <v>24</v>
          </cell>
          <cell r="C31">
            <v>19</v>
          </cell>
        </row>
        <row r="32">
          <cell r="B32">
            <v>21</v>
          </cell>
          <cell r="C32">
            <v>37</v>
          </cell>
        </row>
        <row r="33">
          <cell r="B33">
            <v>14</v>
          </cell>
          <cell r="C33">
            <v>18</v>
          </cell>
        </row>
        <row r="34">
          <cell r="B34">
            <v>19</v>
          </cell>
          <cell r="C34">
            <v>43</v>
          </cell>
        </row>
        <row r="35">
          <cell r="B35">
            <v>29</v>
          </cell>
          <cell r="C35">
            <v>14</v>
          </cell>
        </row>
        <row r="36">
          <cell r="B36">
            <v>20</v>
          </cell>
          <cell r="C36">
            <v>30</v>
          </cell>
        </row>
        <row r="37">
          <cell r="B37">
            <v>19</v>
          </cell>
          <cell r="C37">
            <v>10</v>
          </cell>
        </row>
        <row r="38">
          <cell r="B38">
            <v>16</v>
          </cell>
          <cell r="C38">
            <v>33</v>
          </cell>
        </row>
        <row r="39">
          <cell r="B39">
            <v>16</v>
          </cell>
          <cell r="C39">
            <v>23</v>
          </cell>
        </row>
        <row r="40">
          <cell r="B40">
            <v>12</v>
          </cell>
          <cell r="C40">
            <v>29</v>
          </cell>
        </row>
        <row r="41">
          <cell r="B41">
            <v>11</v>
          </cell>
          <cell r="C41">
            <v>8</v>
          </cell>
        </row>
        <row r="42">
          <cell r="B42">
            <v>6</v>
          </cell>
          <cell r="C42">
            <v>22</v>
          </cell>
        </row>
        <row r="43">
          <cell r="B43">
            <v>12</v>
          </cell>
          <cell r="C43">
            <v>10</v>
          </cell>
        </row>
        <row r="44">
          <cell r="B44">
            <v>17</v>
          </cell>
          <cell r="C44">
            <v>22</v>
          </cell>
        </row>
        <row r="45">
          <cell r="B45">
            <v>9</v>
          </cell>
          <cell r="C45">
            <v>10</v>
          </cell>
        </row>
        <row r="46">
          <cell r="B46">
            <v>12</v>
          </cell>
          <cell r="C46">
            <v>18</v>
          </cell>
        </row>
        <row r="47">
          <cell r="B47">
            <v>17</v>
          </cell>
          <cell r="C47">
            <v>17</v>
          </cell>
        </row>
        <row r="48">
          <cell r="B48">
            <v>15</v>
          </cell>
          <cell r="C48">
            <v>22</v>
          </cell>
        </row>
        <row r="49">
          <cell r="B49">
            <v>14</v>
          </cell>
          <cell r="C49">
            <v>13</v>
          </cell>
        </row>
        <row r="50">
          <cell r="B50">
            <v>8</v>
          </cell>
          <cell r="C50">
            <v>22</v>
          </cell>
        </row>
        <row r="51">
          <cell r="B51">
            <v>8</v>
          </cell>
          <cell r="C51">
            <v>5</v>
          </cell>
        </row>
        <row r="52">
          <cell r="B52">
            <v>14</v>
          </cell>
          <cell r="C52">
            <v>24</v>
          </cell>
        </row>
        <row r="53">
          <cell r="B53">
            <v>10</v>
          </cell>
          <cell r="C53">
            <v>15</v>
          </cell>
        </row>
        <row r="54">
          <cell r="B54">
            <v>12</v>
          </cell>
          <cell r="C54">
            <v>21</v>
          </cell>
        </row>
        <row r="55">
          <cell r="B55">
            <v>16</v>
          </cell>
          <cell r="C55">
            <v>10</v>
          </cell>
        </row>
        <row r="56">
          <cell r="B56">
            <v>12</v>
          </cell>
          <cell r="C56">
            <v>16</v>
          </cell>
        </row>
        <row r="57">
          <cell r="B57">
            <v>7</v>
          </cell>
          <cell r="C57">
            <v>8</v>
          </cell>
        </row>
        <row r="58">
          <cell r="B58">
            <v>12</v>
          </cell>
          <cell r="C58">
            <v>13</v>
          </cell>
        </row>
        <row r="59">
          <cell r="B59">
            <v>11</v>
          </cell>
          <cell r="C59">
            <v>9</v>
          </cell>
        </row>
        <row r="60">
          <cell r="B60">
            <v>8</v>
          </cell>
          <cell r="C60">
            <v>19</v>
          </cell>
        </row>
        <row r="61">
          <cell r="B61">
            <v>14</v>
          </cell>
          <cell r="C61">
            <v>10</v>
          </cell>
        </row>
        <row r="62">
          <cell r="B62">
            <v>14</v>
          </cell>
          <cell r="C62">
            <v>19</v>
          </cell>
        </row>
        <row r="63">
          <cell r="B63">
            <v>11</v>
          </cell>
          <cell r="C63">
            <v>9</v>
          </cell>
        </row>
        <row r="64">
          <cell r="B64">
            <v>12</v>
          </cell>
          <cell r="C64">
            <v>17</v>
          </cell>
        </row>
        <row r="65">
          <cell r="B65">
            <v>9</v>
          </cell>
          <cell r="C65">
            <v>6</v>
          </cell>
        </row>
        <row r="66">
          <cell r="B66">
            <v>8</v>
          </cell>
          <cell r="C66">
            <v>13</v>
          </cell>
        </row>
        <row r="67">
          <cell r="B67">
            <v>13</v>
          </cell>
          <cell r="C67">
            <v>6</v>
          </cell>
        </row>
        <row r="68">
          <cell r="B68">
            <v>12</v>
          </cell>
          <cell r="C68">
            <v>11</v>
          </cell>
        </row>
        <row r="69">
          <cell r="B69">
            <v>9</v>
          </cell>
          <cell r="C69">
            <v>0</v>
          </cell>
        </row>
        <row r="70">
          <cell r="B70">
            <v>4</v>
          </cell>
          <cell r="C70">
            <v>15</v>
          </cell>
        </row>
        <row r="71">
          <cell r="B71">
            <v>10</v>
          </cell>
          <cell r="C71">
            <v>6</v>
          </cell>
        </row>
        <row r="72">
          <cell r="B72">
            <v>8</v>
          </cell>
          <cell r="C72">
            <v>23</v>
          </cell>
        </row>
        <row r="73">
          <cell r="B73">
            <v>10</v>
          </cell>
          <cell r="C73">
            <v>7</v>
          </cell>
        </row>
        <row r="74">
          <cell r="B74">
            <v>15</v>
          </cell>
          <cell r="C74">
            <v>11</v>
          </cell>
        </row>
        <row r="75">
          <cell r="B75">
            <v>10</v>
          </cell>
          <cell r="C75">
            <v>5</v>
          </cell>
        </row>
        <row r="76">
          <cell r="B76">
            <v>5</v>
          </cell>
          <cell r="C76">
            <v>9</v>
          </cell>
        </row>
        <row r="77">
          <cell r="B77">
            <v>9</v>
          </cell>
          <cell r="C77">
            <v>4</v>
          </cell>
        </row>
        <row r="78">
          <cell r="B78">
            <v>13</v>
          </cell>
          <cell r="C78">
            <v>13</v>
          </cell>
        </row>
        <row r="79">
          <cell r="B79">
            <v>3</v>
          </cell>
          <cell r="C79">
            <v>7</v>
          </cell>
        </row>
        <row r="80">
          <cell r="B80">
            <v>15</v>
          </cell>
          <cell r="C80">
            <v>12</v>
          </cell>
        </row>
        <row r="81">
          <cell r="B81">
            <v>9</v>
          </cell>
          <cell r="C81">
            <v>6</v>
          </cell>
        </row>
        <row r="82">
          <cell r="B82">
            <v>10</v>
          </cell>
          <cell r="C82">
            <v>12</v>
          </cell>
        </row>
        <row r="83">
          <cell r="B83">
            <v>5</v>
          </cell>
          <cell r="C83">
            <v>4</v>
          </cell>
        </row>
        <row r="84">
          <cell r="B84">
            <v>3</v>
          </cell>
          <cell r="C84">
            <v>7</v>
          </cell>
        </row>
        <row r="85">
          <cell r="B85">
            <v>3</v>
          </cell>
          <cell r="C85">
            <v>5</v>
          </cell>
        </row>
        <row r="86">
          <cell r="B86">
            <v>4</v>
          </cell>
          <cell r="C86">
            <v>11</v>
          </cell>
        </row>
        <row r="87">
          <cell r="B87">
            <v>8</v>
          </cell>
          <cell r="C87">
            <v>1</v>
          </cell>
        </row>
        <row r="88">
          <cell r="B88">
            <v>5</v>
          </cell>
          <cell r="C88">
            <v>8</v>
          </cell>
        </row>
        <row r="89">
          <cell r="B89">
            <v>8</v>
          </cell>
          <cell r="C89">
            <v>5</v>
          </cell>
        </row>
        <row r="90">
          <cell r="B90">
            <v>8</v>
          </cell>
          <cell r="C90">
            <v>7</v>
          </cell>
        </row>
        <row r="91">
          <cell r="B91">
            <v>5</v>
          </cell>
          <cell r="C91">
            <v>6</v>
          </cell>
        </row>
        <row r="92">
          <cell r="B92">
            <v>6</v>
          </cell>
          <cell r="C92">
            <v>5</v>
          </cell>
        </row>
        <row r="93">
          <cell r="B93">
            <v>4</v>
          </cell>
          <cell r="C93">
            <v>10</v>
          </cell>
        </row>
        <row r="94">
          <cell r="B94">
            <v>8</v>
          </cell>
          <cell r="C94">
            <v>9</v>
          </cell>
        </row>
        <row r="95">
          <cell r="B95">
            <v>8</v>
          </cell>
          <cell r="C95">
            <v>6</v>
          </cell>
        </row>
        <row r="96">
          <cell r="B96">
            <v>6</v>
          </cell>
          <cell r="C96">
            <v>10</v>
          </cell>
        </row>
        <row r="97">
          <cell r="B97">
            <v>5</v>
          </cell>
          <cell r="C97">
            <v>7</v>
          </cell>
        </row>
        <row r="98">
          <cell r="B98">
            <v>4</v>
          </cell>
          <cell r="C98">
            <v>8</v>
          </cell>
        </row>
        <row r="99">
          <cell r="B99">
            <v>13</v>
          </cell>
          <cell r="C99">
            <v>7</v>
          </cell>
        </row>
        <row r="100">
          <cell r="B100">
            <v>3</v>
          </cell>
          <cell r="C100">
            <v>8</v>
          </cell>
        </row>
        <row r="101">
          <cell r="B101">
            <v>2</v>
          </cell>
          <cell r="C101">
            <v>2</v>
          </cell>
        </row>
        <row r="102">
          <cell r="B102">
            <v>7</v>
          </cell>
          <cell r="C102">
            <v>5</v>
          </cell>
        </row>
        <row r="103">
          <cell r="B103">
            <v>5</v>
          </cell>
          <cell r="C103">
            <v>0</v>
          </cell>
        </row>
        <row r="104">
          <cell r="B104">
            <v>9</v>
          </cell>
          <cell r="C104">
            <v>6</v>
          </cell>
        </row>
        <row r="105">
          <cell r="B105">
            <v>5</v>
          </cell>
          <cell r="C105">
            <v>6</v>
          </cell>
        </row>
        <row r="106">
          <cell r="B106">
            <v>8</v>
          </cell>
          <cell r="C106">
            <v>8</v>
          </cell>
        </row>
        <row r="107">
          <cell r="B107">
            <v>8</v>
          </cell>
          <cell r="C107">
            <v>3</v>
          </cell>
        </row>
        <row r="108">
          <cell r="B108">
            <v>8</v>
          </cell>
          <cell r="C108">
            <v>13</v>
          </cell>
        </row>
        <row r="109">
          <cell r="B109">
            <v>6</v>
          </cell>
          <cell r="C109">
            <v>10</v>
          </cell>
        </row>
        <row r="110">
          <cell r="B110">
            <v>8</v>
          </cell>
          <cell r="C110">
            <v>7</v>
          </cell>
        </row>
        <row r="111">
          <cell r="B111">
            <v>1</v>
          </cell>
          <cell r="C111">
            <v>6</v>
          </cell>
        </row>
        <row r="112">
          <cell r="B112">
            <v>8</v>
          </cell>
          <cell r="C112">
            <v>8</v>
          </cell>
        </row>
        <row r="113">
          <cell r="B113">
            <v>7</v>
          </cell>
          <cell r="C113">
            <v>5</v>
          </cell>
        </row>
        <row r="114">
          <cell r="B114">
            <v>10</v>
          </cell>
          <cell r="C114">
            <v>5</v>
          </cell>
        </row>
        <row r="115">
          <cell r="B115">
            <v>4</v>
          </cell>
          <cell r="C115">
            <v>2</v>
          </cell>
        </row>
        <row r="116">
          <cell r="B116">
            <v>9</v>
          </cell>
          <cell r="C116">
            <v>11</v>
          </cell>
        </row>
        <row r="117">
          <cell r="B117">
            <v>11</v>
          </cell>
          <cell r="C117">
            <v>4</v>
          </cell>
        </row>
        <row r="118">
          <cell r="B118">
            <v>12</v>
          </cell>
          <cell r="C118">
            <v>5</v>
          </cell>
        </row>
        <row r="119">
          <cell r="B119">
            <v>6</v>
          </cell>
          <cell r="C119">
            <v>3</v>
          </cell>
        </row>
        <row r="120">
          <cell r="B120">
            <v>9</v>
          </cell>
          <cell r="C120">
            <v>6</v>
          </cell>
        </row>
        <row r="121">
          <cell r="B121">
            <v>4</v>
          </cell>
          <cell r="C121">
            <v>2</v>
          </cell>
        </row>
        <row r="122">
          <cell r="B122">
            <v>9</v>
          </cell>
          <cell r="C122">
            <v>6</v>
          </cell>
        </row>
        <row r="123">
          <cell r="B123">
            <v>7</v>
          </cell>
          <cell r="C123">
            <v>5</v>
          </cell>
        </row>
        <row r="124">
          <cell r="B124">
            <v>10</v>
          </cell>
          <cell r="C124">
            <v>5</v>
          </cell>
        </row>
        <row r="125">
          <cell r="B125">
            <v>5</v>
          </cell>
          <cell r="C125">
            <v>6</v>
          </cell>
        </row>
        <row r="126">
          <cell r="B126">
            <v>5</v>
          </cell>
          <cell r="C126">
            <v>6</v>
          </cell>
        </row>
        <row r="127">
          <cell r="B127">
            <v>3</v>
          </cell>
          <cell r="C127">
            <v>4</v>
          </cell>
        </row>
        <row r="128">
          <cell r="B128">
            <v>6</v>
          </cell>
          <cell r="C128">
            <v>6</v>
          </cell>
        </row>
        <row r="129">
          <cell r="B129">
            <v>3</v>
          </cell>
          <cell r="C129">
            <v>4</v>
          </cell>
        </row>
        <row r="130">
          <cell r="B130">
            <v>4</v>
          </cell>
          <cell r="C130">
            <v>6</v>
          </cell>
        </row>
        <row r="131">
          <cell r="B131">
            <v>1</v>
          </cell>
          <cell r="C131">
            <v>10</v>
          </cell>
        </row>
        <row r="132">
          <cell r="B132">
            <v>4</v>
          </cell>
          <cell r="C132">
            <v>3</v>
          </cell>
        </row>
        <row r="133">
          <cell r="B133">
            <v>3</v>
          </cell>
          <cell r="C133">
            <v>2</v>
          </cell>
        </row>
        <row r="134">
          <cell r="B134">
            <v>7</v>
          </cell>
          <cell r="C134">
            <v>6</v>
          </cell>
        </row>
        <row r="135">
          <cell r="B135">
            <v>6</v>
          </cell>
          <cell r="C135">
            <v>8</v>
          </cell>
        </row>
        <row r="136">
          <cell r="B136">
            <v>6</v>
          </cell>
          <cell r="C136">
            <v>9</v>
          </cell>
        </row>
        <row r="137">
          <cell r="B137">
            <v>5</v>
          </cell>
          <cell r="C137">
            <v>4</v>
          </cell>
        </row>
        <row r="138">
          <cell r="B138">
            <v>6</v>
          </cell>
          <cell r="C138">
            <v>5</v>
          </cell>
        </row>
        <row r="139">
          <cell r="B139">
            <v>3</v>
          </cell>
          <cell r="C139">
            <v>4</v>
          </cell>
        </row>
        <row r="140">
          <cell r="B140">
            <v>5</v>
          </cell>
          <cell r="C140">
            <v>6</v>
          </cell>
        </row>
        <row r="141">
          <cell r="B141">
            <v>1</v>
          </cell>
          <cell r="C141">
            <v>8</v>
          </cell>
        </row>
        <row r="142">
          <cell r="B142">
            <v>5</v>
          </cell>
          <cell r="C142">
            <v>5</v>
          </cell>
        </row>
        <row r="143">
          <cell r="B143">
            <v>3</v>
          </cell>
          <cell r="C143">
            <v>5</v>
          </cell>
        </row>
        <row r="144">
          <cell r="B144">
            <v>4</v>
          </cell>
          <cell r="C144">
            <v>6</v>
          </cell>
        </row>
        <row r="145">
          <cell r="B145">
            <v>4</v>
          </cell>
          <cell r="C145">
            <v>2</v>
          </cell>
        </row>
        <row r="146">
          <cell r="B146">
            <v>2</v>
          </cell>
          <cell r="C146">
            <v>5</v>
          </cell>
        </row>
        <row r="147">
          <cell r="B147">
            <v>5</v>
          </cell>
          <cell r="C147">
            <v>8</v>
          </cell>
        </row>
        <row r="148">
          <cell r="B148">
            <v>3</v>
          </cell>
          <cell r="C148">
            <v>5</v>
          </cell>
        </row>
        <row r="149">
          <cell r="B149">
            <v>4</v>
          </cell>
          <cell r="C149">
            <v>1</v>
          </cell>
        </row>
        <row r="150">
          <cell r="B150">
            <v>10</v>
          </cell>
          <cell r="C150">
            <v>3</v>
          </cell>
        </row>
        <row r="151">
          <cell r="B151">
            <v>8</v>
          </cell>
          <cell r="C151">
            <v>5</v>
          </cell>
        </row>
        <row r="152">
          <cell r="B152">
            <v>6</v>
          </cell>
          <cell r="C152">
            <v>3</v>
          </cell>
        </row>
        <row r="153">
          <cell r="B153">
            <v>3</v>
          </cell>
          <cell r="C153">
            <v>7</v>
          </cell>
        </row>
        <row r="154">
          <cell r="B154">
            <v>5</v>
          </cell>
          <cell r="C154">
            <v>4</v>
          </cell>
        </row>
        <row r="155">
          <cell r="B155">
            <v>7</v>
          </cell>
          <cell r="C155">
            <v>3</v>
          </cell>
        </row>
        <row r="156">
          <cell r="B156">
            <v>3</v>
          </cell>
          <cell r="C156">
            <v>9</v>
          </cell>
        </row>
        <row r="157">
          <cell r="B157">
            <v>2</v>
          </cell>
          <cell r="C157">
            <v>5</v>
          </cell>
        </row>
        <row r="158">
          <cell r="B158">
            <v>6</v>
          </cell>
          <cell r="C158">
            <v>3</v>
          </cell>
        </row>
        <row r="159">
          <cell r="B159">
            <v>1</v>
          </cell>
          <cell r="C159">
            <v>3</v>
          </cell>
        </row>
        <row r="160">
          <cell r="B160">
            <v>13</v>
          </cell>
          <cell r="C160">
            <v>6</v>
          </cell>
        </row>
        <row r="161">
          <cell r="B161">
            <v>5</v>
          </cell>
          <cell r="C161">
            <v>2</v>
          </cell>
        </row>
        <row r="162">
          <cell r="B162">
            <v>6</v>
          </cell>
          <cell r="C162">
            <v>3</v>
          </cell>
        </row>
        <row r="163">
          <cell r="B163">
            <v>2</v>
          </cell>
          <cell r="C163">
            <v>2</v>
          </cell>
        </row>
        <row r="164">
          <cell r="B164">
            <v>5</v>
          </cell>
          <cell r="C164">
            <v>5</v>
          </cell>
        </row>
        <row r="165">
          <cell r="B165">
            <v>3</v>
          </cell>
          <cell r="C165">
            <v>3</v>
          </cell>
        </row>
        <row r="166">
          <cell r="B166">
            <v>6</v>
          </cell>
          <cell r="C166">
            <v>5</v>
          </cell>
        </row>
        <row r="167">
          <cell r="B167">
            <v>1</v>
          </cell>
          <cell r="C167">
            <v>0</v>
          </cell>
        </row>
        <row r="168">
          <cell r="B168">
            <v>4</v>
          </cell>
          <cell r="C168">
            <v>4</v>
          </cell>
        </row>
        <row r="169">
          <cell r="B169">
            <v>1</v>
          </cell>
          <cell r="C169">
            <v>2</v>
          </cell>
        </row>
        <row r="170">
          <cell r="B170">
            <v>4</v>
          </cell>
          <cell r="C170">
            <v>0</v>
          </cell>
        </row>
        <row r="171">
          <cell r="B171">
            <v>1</v>
          </cell>
          <cell r="C171">
            <v>3</v>
          </cell>
        </row>
        <row r="172">
          <cell r="B172">
            <v>2</v>
          </cell>
          <cell r="C172">
            <v>3</v>
          </cell>
        </row>
        <row r="173">
          <cell r="B173">
            <v>4</v>
          </cell>
          <cell r="C173">
            <v>2</v>
          </cell>
        </row>
        <row r="174">
          <cell r="B174">
            <v>4</v>
          </cell>
          <cell r="C174">
            <v>2</v>
          </cell>
        </row>
        <row r="175">
          <cell r="B175">
            <v>3</v>
          </cell>
          <cell r="C175">
            <v>4</v>
          </cell>
        </row>
        <row r="176">
          <cell r="B176">
            <v>7</v>
          </cell>
          <cell r="C176">
            <v>4</v>
          </cell>
        </row>
        <row r="177">
          <cell r="B177">
            <v>0</v>
          </cell>
          <cell r="C177">
            <v>4</v>
          </cell>
        </row>
        <row r="178">
          <cell r="B178">
            <v>3</v>
          </cell>
          <cell r="C178">
            <v>6</v>
          </cell>
        </row>
        <row r="179">
          <cell r="B179">
            <v>1</v>
          </cell>
          <cell r="C179">
            <v>2</v>
          </cell>
        </row>
        <row r="180">
          <cell r="B180">
            <v>3</v>
          </cell>
          <cell r="C180">
            <v>6</v>
          </cell>
        </row>
        <row r="181">
          <cell r="B181">
            <v>3</v>
          </cell>
          <cell r="C181">
            <v>2</v>
          </cell>
        </row>
        <row r="182">
          <cell r="B182">
            <v>6</v>
          </cell>
          <cell r="C182">
            <v>3</v>
          </cell>
        </row>
        <row r="183">
          <cell r="B183">
            <v>3</v>
          </cell>
          <cell r="C183">
            <v>1</v>
          </cell>
        </row>
        <row r="184">
          <cell r="B184">
            <v>1</v>
          </cell>
          <cell r="C184">
            <v>4</v>
          </cell>
        </row>
        <row r="185">
          <cell r="B185">
            <v>0</v>
          </cell>
          <cell r="C185">
            <v>1</v>
          </cell>
        </row>
        <row r="186">
          <cell r="B186">
            <v>7</v>
          </cell>
          <cell r="C186">
            <v>9</v>
          </cell>
        </row>
        <row r="187">
          <cell r="B187">
            <v>3</v>
          </cell>
          <cell r="C187">
            <v>1</v>
          </cell>
        </row>
        <row r="188">
          <cell r="B188">
            <v>4</v>
          </cell>
          <cell r="C188">
            <v>6</v>
          </cell>
        </row>
        <row r="189">
          <cell r="B189">
            <v>2</v>
          </cell>
          <cell r="C189">
            <v>8</v>
          </cell>
        </row>
        <row r="190">
          <cell r="B190">
            <v>3</v>
          </cell>
          <cell r="C190">
            <v>7</v>
          </cell>
        </row>
        <row r="191">
          <cell r="B191">
            <v>4</v>
          </cell>
          <cell r="C191">
            <v>3</v>
          </cell>
        </row>
        <row r="192">
          <cell r="B192">
            <v>4</v>
          </cell>
          <cell r="C192">
            <v>3</v>
          </cell>
        </row>
        <row r="193">
          <cell r="B193">
            <v>3</v>
          </cell>
          <cell r="C193">
            <v>2</v>
          </cell>
        </row>
        <row r="194">
          <cell r="B194">
            <v>5</v>
          </cell>
          <cell r="C194">
            <v>6</v>
          </cell>
        </row>
        <row r="195">
          <cell r="B195">
            <v>3</v>
          </cell>
          <cell r="C195">
            <v>5</v>
          </cell>
        </row>
        <row r="196">
          <cell r="B196">
            <v>5</v>
          </cell>
          <cell r="C196">
            <v>3</v>
          </cell>
        </row>
        <row r="197">
          <cell r="B197">
            <v>5</v>
          </cell>
          <cell r="C197">
            <v>2</v>
          </cell>
        </row>
        <row r="198">
          <cell r="B198">
            <v>9</v>
          </cell>
          <cell r="C198">
            <v>2</v>
          </cell>
        </row>
        <row r="199">
          <cell r="B199">
            <v>1</v>
          </cell>
          <cell r="C199">
            <v>2</v>
          </cell>
        </row>
        <row r="200">
          <cell r="B200">
            <v>8</v>
          </cell>
          <cell r="C200">
            <v>3</v>
          </cell>
        </row>
        <row r="201">
          <cell r="B201">
            <v>4</v>
          </cell>
          <cell r="C201">
            <v>3</v>
          </cell>
        </row>
        <row r="202">
          <cell r="B202">
            <v>8</v>
          </cell>
          <cell r="C202">
            <v>8</v>
          </cell>
        </row>
        <row r="203">
          <cell r="B203">
            <v>3</v>
          </cell>
          <cell r="C203">
            <v>3</v>
          </cell>
        </row>
        <row r="204">
          <cell r="B204">
            <v>5</v>
          </cell>
          <cell r="C204">
            <v>6</v>
          </cell>
        </row>
        <row r="205">
          <cell r="B205">
            <v>1</v>
          </cell>
          <cell r="C205">
            <v>4</v>
          </cell>
        </row>
        <row r="206">
          <cell r="B206">
            <v>11</v>
          </cell>
          <cell r="C206">
            <v>6</v>
          </cell>
        </row>
        <row r="207">
          <cell r="B207">
            <v>4</v>
          </cell>
          <cell r="C207">
            <v>4</v>
          </cell>
        </row>
        <row r="208">
          <cell r="B208">
            <v>5</v>
          </cell>
          <cell r="C208">
            <v>7</v>
          </cell>
        </row>
        <row r="209">
          <cell r="B209">
            <v>7</v>
          </cell>
          <cell r="C209">
            <v>7</v>
          </cell>
        </row>
        <row r="210">
          <cell r="B210">
            <v>5</v>
          </cell>
          <cell r="C210">
            <v>1</v>
          </cell>
        </row>
        <row r="211">
          <cell r="B211">
            <v>2</v>
          </cell>
          <cell r="C211">
            <v>2</v>
          </cell>
        </row>
        <row r="212">
          <cell r="B212">
            <v>5</v>
          </cell>
          <cell r="C212">
            <v>2</v>
          </cell>
        </row>
        <row r="213">
          <cell r="B213">
            <v>1</v>
          </cell>
          <cell r="C213">
            <v>6</v>
          </cell>
        </row>
        <row r="214">
          <cell r="B214">
            <v>3</v>
          </cell>
          <cell r="C214">
            <v>2</v>
          </cell>
        </row>
        <row r="215">
          <cell r="B215">
            <v>4</v>
          </cell>
          <cell r="C215">
            <v>3</v>
          </cell>
        </row>
        <row r="216">
          <cell r="B216">
            <v>5</v>
          </cell>
          <cell r="C216">
            <v>6</v>
          </cell>
        </row>
        <row r="217">
          <cell r="B217">
            <v>5</v>
          </cell>
          <cell r="C217">
            <v>4</v>
          </cell>
        </row>
        <row r="218">
          <cell r="B218">
            <v>6</v>
          </cell>
          <cell r="C218">
            <v>7</v>
          </cell>
        </row>
        <row r="219">
          <cell r="B219">
            <v>2</v>
          </cell>
          <cell r="C219">
            <v>4</v>
          </cell>
        </row>
        <row r="220">
          <cell r="B220">
            <v>7</v>
          </cell>
          <cell r="C220">
            <v>5</v>
          </cell>
        </row>
        <row r="221">
          <cell r="B221">
            <v>7</v>
          </cell>
          <cell r="C221">
            <v>3</v>
          </cell>
        </row>
        <row r="222">
          <cell r="B222">
            <v>5</v>
          </cell>
          <cell r="C222">
            <v>4</v>
          </cell>
        </row>
        <row r="223">
          <cell r="B223">
            <v>1</v>
          </cell>
          <cell r="C223">
            <v>5</v>
          </cell>
        </row>
        <row r="224">
          <cell r="B224">
            <v>6</v>
          </cell>
          <cell r="C224">
            <v>2</v>
          </cell>
        </row>
        <row r="225">
          <cell r="B225">
            <v>3</v>
          </cell>
          <cell r="C225">
            <v>6</v>
          </cell>
        </row>
        <row r="226">
          <cell r="B226">
            <v>4</v>
          </cell>
          <cell r="C226">
            <v>7</v>
          </cell>
        </row>
        <row r="227">
          <cell r="B227">
            <v>5</v>
          </cell>
          <cell r="C227">
            <v>3</v>
          </cell>
        </row>
        <row r="228">
          <cell r="B228">
            <v>8</v>
          </cell>
          <cell r="C228">
            <v>5</v>
          </cell>
        </row>
        <row r="229">
          <cell r="B229">
            <v>10</v>
          </cell>
          <cell r="C229">
            <v>6</v>
          </cell>
        </row>
        <row r="230">
          <cell r="B230">
            <v>10</v>
          </cell>
          <cell r="C230">
            <v>5</v>
          </cell>
        </row>
        <row r="231">
          <cell r="B231">
            <v>3</v>
          </cell>
          <cell r="C231">
            <v>3</v>
          </cell>
        </row>
        <row r="232">
          <cell r="B232">
            <v>3</v>
          </cell>
          <cell r="C232">
            <v>6</v>
          </cell>
        </row>
        <row r="233">
          <cell r="B233">
            <v>4</v>
          </cell>
          <cell r="C233">
            <v>1</v>
          </cell>
        </row>
        <row r="234">
          <cell r="B234">
            <v>5</v>
          </cell>
          <cell r="C234">
            <v>6</v>
          </cell>
        </row>
        <row r="235">
          <cell r="B235">
            <v>4</v>
          </cell>
          <cell r="C235">
            <v>3</v>
          </cell>
        </row>
        <row r="236">
          <cell r="B236">
            <v>6</v>
          </cell>
          <cell r="C236">
            <v>6</v>
          </cell>
        </row>
        <row r="237">
          <cell r="B237">
            <v>6</v>
          </cell>
          <cell r="C237">
            <v>4</v>
          </cell>
        </row>
        <row r="238">
          <cell r="B238">
            <v>11</v>
          </cell>
          <cell r="C238">
            <v>6</v>
          </cell>
        </row>
        <row r="239">
          <cell r="B239">
            <v>6</v>
          </cell>
          <cell r="C239">
            <v>6</v>
          </cell>
        </row>
        <row r="240">
          <cell r="B240">
            <v>8</v>
          </cell>
          <cell r="C240">
            <v>1</v>
          </cell>
        </row>
        <row r="241">
          <cell r="B241">
            <v>5</v>
          </cell>
          <cell r="C241">
            <v>3</v>
          </cell>
        </row>
        <row r="242">
          <cell r="B242">
            <v>7</v>
          </cell>
          <cell r="C242">
            <v>5</v>
          </cell>
        </row>
        <row r="243">
          <cell r="B243">
            <v>3</v>
          </cell>
          <cell r="C243">
            <v>3</v>
          </cell>
        </row>
        <row r="244">
          <cell r="B244">
            <v>14</v>
          </cell>
          <cell r="C244">
            <v>8</v>
          </cell>
        </row>
        <row r="245">
          <cell r="B245">
            <v>2</v>
          </cell>
          <cell r="C245">
            <v>7</v>
          </cell>
        </row>
        <row r="246">
          <cell r="B246">
            <v>9</v>
          </cell>
          <cell r="C246">
            <v>5</v>
          </cell>
        </row>
        <row r="247">
          <cell r="B247">
            <v>5</v>
          </cell>
          <cell r="C247">
            <v>7</v>
          </cell>
        </row>
        <row r="248">
          <cell r="B248">
            <v>17</v>
          </cell>
          <cell r="C248">
            <v>5</v>
          </cell>
        </row>
        <row r="249">
          <cell r="B249">
            <v>11</v>
          </cell>
          <cell r="C249">
            <v>4</v>
          </cell>
        </row>
        <row r="250">
          <cell r="B250">
            <v>20</v>
          </cell>
          <cell r="C250">
            <v>9</v>
          </cell>
        </row>
        <row r="251">
          <cell r="B251">
            <v>16</v>
          </cell>
          <cell r="C251">
            <v>10</v>
          </cell>
        </row>
        <row r="252">
          <cell r="B252">
            <v>25</v>
          </cell>
          <cell r="C252">
            <v>7</v>
          </cell>
        </row>
        <row r="253">
          <cell r="B253">
            <v>13</v>
          </cell>
          <cell r="C253">
            <v>10</v>
          </cell>
        </row>
        <row r="254">
          <cell r="B254">
            <v>76</v>
          </cell>
          <cell r="C254">
            <v>28</v>
          </cell>
        </row>
        <row r="255">
          <cell r="B255">
            <v>38</v>
          </cell>
          <cell r="C255">
            <v>25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_stat_stem_AT_GC_freq"/>
    </sheetNames>
    <sheetDataSet>
      <sheetData sheetId="0">
        <row r="2">
          <cell r="B2">
            <v>36</v>
          </cell>
        </row>
        <row r="3">
          <cell r="B3">
            <v>9</v>
          </cell>
        </row>
        <row r="4">
          <cell r="B4">
            <v>3</v>
          </cell>
        </row>
        <row r="5">
          <cell r="B5">
            <v>0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9</v>
          </cell>
        </row>
        <row r="9">
          <cell r="B9">
            <v>10</v>
          </cell>
        </row>
        <row r="10">
          <cell r="B10">
            <v>6</v>
          </cell>
        </row>
        <row r="11">
          <cell r="B11">
            <v>18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2_stat_stem_AT_GC_freq"/>
    </sheetNames>
    <sheetDataSet>
      <sheetData sheetId="0">
        <row r="2">
          <cell r="B2">
            <v>267</v>
          </cell>
        </row>
        <row r="3">
          <cell r="B3">
            <v>43</v>
          </cell>
        </row>
        <row r="4">
          <cell r="B4">
            <v>33</v>
          </cell>
        </row>
        <row r="5">
          <cell r="B5">
            <v>21</v>
          </cell>
        </row>
        <row r="6">
          <cell r="B6">
            <v>25</v>
          </cell>
        </row>
        <row r="7">
          <cell r="B7">
            <v>20</v>
          </cell>
        </row>
        <row r="8">
          <cell r="B8">
            <v>20</v>
          </cell>
        </row>
        <row r="9">
          <cell r="B9">
            <v>30</v>
          </cell>
        </row>
        <row r="10">
          <cell r="B10">
            <v>44</v>
          </cell>
        </row>
        <row r="11">
          <cell r="B11">
            <v>102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3_stat_stem_AT_GC_freq"/>
    </sheetNames>
    <sheetDataSet>
      <sheetData sheetId="0">
        <row r="2">
          <cell r="B2">
            <v>483</v>
          </cell>
        </row>
        <row r="3">
          <cell r="B3">
            <v>95</v>
          </cell>
        </row>
        <row r="4">
          <cell r="B4">
            <v>56</v>
          </cell>
        </row>
        <row r="5">
          <cell r="B5">
            <v>42</v>
          </cell>
        </row>
        <row r="6">
          <cell r="B6">
            <v>65</v>
          </cell>
        </row>
        <row r="7">
          <cell r="B7">
            <v>46</v>
          </cell>
        </row>
        <row r="8">
          <cell r="B8">
            <v>38</v>
          </cell>
        </row>
        <row r="9">
          <cell r="B9">
            <v>48</v>
          </cell>
        </row>
        <row r="10">
          <cell r="B10">
            <v>50</v>
          </cell>
        </row>
        <row r="11">
          <cell r="B11">
            <v>175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4_stat_stem_AT_GC_freq"/>
    </sheetNames>
    <sheetDataSet>
      <sheetData sheetId="0">
        <row r="2">
          <cell r="B2">
            <v>711</v>
          </cell>
        </row>
        <row r="3">
          <cell r="B3">
            <v>123</v>
          </cell>
        </row>
        <row r="4">
          <cell r="B4">
            <v>79</v>
          </cell>
        </row>
        <row r="5">
          <cell r="B5">
            <v>60</v>
          </cell>
        </row>
        <row r="6">
          <cell r="B6">
            <v>64</v>
          </cell>
        </row>
        <row r="7">
          <cell r="B7">
            <v>67</v>
          </cell>
        </row>
        <row r="8">
          <cell r="B8">
            <v>52</v>
          </cell>
        </row>
        <row r="9">
          <cell r="B9">
            <v>56</v>
          </cell>
        </row>
        <row r="10">
          <cell r="B10">
            <v>64</v>
          </cell>
        </row>
        <row r="11">
          <cell r="B11">
            <v>219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5_stat_stem_AT_GC_freq"/>
    </sheetNames>
    <sheetDataSet>
      <sheetData sheetId="0">
        <row r="2">
          <cell r="B2">
            <v>762</v>
          </cell>
        </row>
        <row r="3">
          <cell r="B3">
            <v>152</v>
          </cell>
        </row>
        <row r="4">
          <cell r="B4">
            <v>87</v>
          </cell>
        </row>
        <row r="5">
          <cell r="B5">
            <v>59</v>
          </cell>
        </row>
        <row r="6">
          <cell r="B6">
            <v>57</v>
          </cell>
        </row>
        <row r="7">
          <cell r="B7">
            <v>64</v>
          </cell>
        </row>
        <row r="8">
          <cell r="B8">
            <v>49</v>
          </cell>
        </row>
        <row r="9">
          <cell r="B9">
            <v>56</v>
          </cell>
        </row>
        <row r="10">
          <cell r="B10">
            <v>88</v>
          </cell>
        </row>
        <row r="11">
          <cell r="B11">
            <v>190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AT_GC_freq_1"/>
    </sheetNames>
    <sheetDataSet>
      <sheetData sheetId="0">
        <row r="2">
          <cell r="B2">
            <v>4612</v>
          </cell>
        </row>
        <row r="3">
          <cell r="B3">
            <v>818</v>
          </cell>
        </row>
        <row r="4">
          <cell r="B4">
            <v>537</v>
          </cell>
        </row>
        <row r="5">
          <cell r="B5">
            <v>397</v>
          </cell>
        </row>
        <row r="6">
          <cell r="B6">
            <v>407</v>
          </cell>
        </row>
        <row r="7">
          <cell r="B7">
            <v>401</v>
          </cell>
        </row>
        <row r="8">
          <cell r="B8">
            <v>310</v>
          </cell>
        </row>
        <row r="9">
          <cell r="B9">
            <v>340</v>
          </cell>
        </row>
        <row r="10">
          <cell r="B10">
            <v>467</v>
          </cell>
        </row>
        <row r="11">
          <cell r="B11">
            <v>1367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6_stat_stem_AT_GC_freq"/>
    </sheetNames>
    <sheetDataSet>
      <sheetData sheetId="0">
        <row r="2">
          <cell r="B2">
            <v>736</v>
          </cell>
        </row>
        <row r="3">
          <cell r="B3">
            <v>100</v>
          </cell>
        </row>
        <row r="4">
          <cell r="B4">
            <v>89</v>
          </cell>
        </row>
        <row r="5">
          <cell r="B5">
            <v>65</v>
          </cell>
        </row>
        <row r="6">
          <cell r="B6">
            <v>55</v>
          </cell>
        </row>
        <row r="7">
          <cell r="B7">
            <v>51</v>
          </cell>
        </row>
        <row r="8">
          <cell r="B8">
            <v>42</v>
          </cell>
        </row>
        <row r="9">
          <cell r="B9">
            <v>41</v>
          </cell>
        </row>
        <row r="10">
          <cell r="B10">
            <v>52</v>
          </cell>
        </row>
        <row r="11">
          <cell r="B11">
            <v>186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7_stat_stem_AT_GC_freq"/>
    </sheetNames>
    <sheetDataSet>
      <sheetData sheetId="0">
        <row r="2">
          <cell r="B2">
            <v>602</v>
          </cell>
        </row>
        <row r="3">
          <cell r="B3">
            <v>120</v>
          </cell>
        </row>
        <row r="4">
          <cell r="B4">
            <v>69</v>
          </cell>
        </row>
        <row r="5">
          <cell r="B5">
            <v>44</v>
          </cell>
        </row>
        <row r="6">
          <cell r="B6">
            <v>54</v>
          </cell>
        </row>
        <row r="7">
          <cell r="B7">
            <v>56</v>
          </cell>
        </row>
        <row r="8">
          <cell r="B8">
            <v>33</v>
          </cell>
        </row>
        <row r="9">
          <cell r="B9">
            <v>34</v>
          </cell>
        </row>
        <row r="10">
          <cell r="B10">
            <v>57</v>
          </cell>
        </row>
        <row r="11">
          <cell r="B11">
            <v>157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8_stat_stem_AT_GC_freq"/>
    </sheetNames>
    <sheetDataSet>
      <sheetData sheetId="0">
        <row r="2">
          <cell r="B2">
            <v>464</v>
          </cell>
        </row>
        <row r="3">
          <cell r="B3">
            <v>79</v>
          </cell>
        </row>
        <row r="4">
          <cell r="B4">
            <v>39</v>
          </cell>
        </row>
        <row r="5">
          <cell r="B5">
            <v>36</v>
          </cell>
        </row>
        <row r="6">
          <cell r="B6">
            <v>42</v>
          </cell>
        </row>
        <row r="7">
          <cell r="B7">
            <v>39</v>
          </cell>
        </row>
        <row r="8">
          <cell r="B8">
            <v>25</v>
          </cell>
        </row>
        <row r="9">
          <cell r="B9">
            <v>32</v>
          </cell>
        </row>
        <row r="10">
          <cell r="B10">
            <v>50</v>
          </cell>
        </row>
        <row r="11">
          <cell r="B11">
            <v>116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9_stat_stem_AT_GC_freq"/>
    </sheetNames>
    <sheetDataSet>
      <sheetData sheetId="0">
        <row r="2">
          <cell r="B2">
            <v>341</v>
          </cell>
        </row>
        <row r="3">
          <cell r="B3">
            <v>49</v>
          </cell>
        </row>
        <row r="4">
          <cell r="B4">
            <v>47</v>
          </cell>
        </row>
        <row r="5">
          <cell r="B5">
            <v>31</v>
          </cell>
        </row>
        <row r="6">
          <cell r="B6">
            <v>32</v>
          </cell>
        </row>
        <row r="7">
          <cell r="B7">
            <v>25</v>
          </cell>
        </row>
        <row r="8">
          <cell r="B8">
            <v>21</v>
          </cell>
        </row>
        <row r="9">
          <cell r="B9">
            <v>25</v>
          </cell>
        </row>
        <row r="10">
          <cell r="B10">
            <v>23</v>
          </cell>
        </row>
        <row r="11">
          <cell r="B11">
            <v>80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0_stat_stem_AT_GC_fre"/>
    </sheetNames>
    <sheetDataSet>
      <sheetData sheetId="0">
        <row r="2">
          <cell r="B2">
            <v>261</v>
          </cell>
        </row>
        <row r="3">
          <cell r="B3">
            <v>43</v>
          </cell>
        </row>
        <row r="4">
          <cell r="B4">
            <v>21</v>
          </cell>
        </row>
        <row r="5">
          <cell r="B5">
            <v>20</v>
          </cell>
        </row>
        <row r="6">
          <cell r="B6">
            <v>13</v>
          </cell>
        </row>
        <row r="7">
          <cell r="B7">
            <v>15</v>
          </cell>
        </row>
        <row r="8">
          <cell r="B8">
            <v>13</v>
          </cell>
        </row>
        <row r="9">
          <cell r="B9">
            <v>13</v>
          </cell>
        </row>
        <row r="10">
          <cell r="B10">
            <v>32</v>
          </cell>
        </row>
        <row r="11">
          <cell r="B11">
            <v>68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1_stat_stem_AT_GC_fre"/>
    </sheetNames>
    <sheetDataSet>
      <sheetData sheetId="0">
        <row r="2">
          <cell r="B2">
            <v>212</v>
          </cell>
        </row>
        <row r="3">
          <cell r="B3">
            <v>41</v>
          </cell>
        </row>
        <row r="4">
          <cell r="B4">
            <v>23</v>
          </cell>
        </row>
        <row r="5">
          <cell r="B5">
            <v>19</v>
          </cell>
        </row>
        <row r="6">
          <cell r="B6">
            <v>11</v>
          </cell>
        </row>
        <row r="7">
          <cell r="B7">
            <v>8</v>
          </cell>
        </row>
        <row r="8">
          <cell r="B8">
            <v>10</v>
          </cell>
        </row>
        <row r="9">
          <cell r="B9">
            <v>11</v>
          </cell>
        </row>
        <row r="10">
          <cell r="B10">
            <v>19</v>
          </cell>
        </row>
        <row r="11">
          <cell r="B11">
            <v>55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2_stat_stem_AT_GC_fre"/>
    </sheetNames>
    <sheetDataSet>
      <sheetData sheetId="0">
        <row r="2">
          <cell r="B2">
            <v>145</v>
          </cell>
        </row>
        <row r="3">
          <cell r="B3">
            <v>26</v>
          </cell>
        </row>
        <row r="4">
          <cell r="B4">
            <v>21</v>
          </cell>
        </row>
        <row r="5">
          <cell r="B5">
            <v>15</v>
          </cell>
        </row>
        <row r="6">
          <cell r="B6">
            <v>12</v>
          </cell>
        </row>
        <row r="7">
          <cell r="B7">
            <v>16</v>
          </cell>
        </row>
        <row r="8">
          <cell r="B8">
            <v>8</v>
          </cell>
        </row>
        <row r="9">
          <cell r="B9">
            <v>10</v>
          </cell>
        </row>
        <row r="10">
          <cell r="B10">
            <v>11</v>
          </cell>
        </row>
        <row r="11">
          <cell r="B11">
            <v>38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3_stat_stem_AT_GC_fre"/>
    </sheetNames>
    <sheetDataSet>
      <sheetData sheetId="0">
        <row r="2">
          <cell r="B2">
            <v>107</v>
          </cell>
        </row>
        <row r="3">
          <cell r="B3">
            <v>18</v>
          </cell>
        </row>
        <row r="4">
          <cell r="B4">
            <v>9</v>
          </cell>
        </row>
        <row r="5">
          <cell r="B5">
            <v>7</v>
          </cell>
        </row>
        <row r="6">
          <cell r="B6">
            <v>11</v>
          </cell>
        </row>
        <row r="7">
          <cell r="B7">
            <v>3</v>
          </cell>
        </row>
        <row r="8">
          <cell r="B8">
            <v>7</v>
          </cell>
        </row>
        <row r="9">
          <cell r="B9">
            <v>6</v>
          </cell>
        </row>
        <row r="10">
          <cell r="B10">
            <v>8</v>
          </cell>
        </row>
        <row r="11">
          <cell r="B11">
            <v>33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4_stat_stem_AT_GC_fre"/>
    </sheetNames>
    <sheetDataSet>
      <sheetData sheetId="0">
        <row r="2">
          <cell r="B2">
            <v>89</v>
          </cell>
        </row>
        <row r="3">
          <cell r="B3">
            <v>12</v>
          </cell>
        </row>
        <row r="4">
          <cell r="B4">
            <v>11</v>
          </cell>
        </row>
        <row r="5">
          <cell r="B5">
            <v>12</v>
          </cell>
        </row>
        <row r="6">
          <cell r="B6">
            <v>3</v>
          </cell>
        </row>
        <row r="7">
          <cell r="B7">
            <v>2</v>
          </cell>
        </row>
        <row r="8">
          <cell r="B8">
            <v>8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18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5_stat_stem_AT_GC_fre"/>
    </sheetNames>
    <sheetDataSet>
      <sheetData sheetId="0">
        <row r="2">
          <cell r="B2">
            <v>61</v>
          </cell>
        </row>
        <row r="3">
          <cell r="B3">
            <v>12</v>
          </cell>
        </row>
        <row r="4">
          <cell r="B4">
            <v>8</v>
          </cell>
        </row>
        <row r="5">
          <cell r="B5">
            <v>4</v>
          </cell>
        </row>
        <row r="6">
          <cell r="B6">
            <v>4</v>
          </cell>
        </row>
        <row r="7">
          <cell r="B7">
            <v>3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1</v>
          </cell>
        </row>
        <row r="11">
          <cell r="B11">
            <v>19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AT_GC_freq_1"/>
    </sheetNames>
    <sheetDataSet>
      <sheetData sheetId="0">
        <row r="2">
          <cell r="B2">
            <v>4041</v>
          </cell>
        </row>
        <row r="3">
          <cell r="B3">
            <v>700</v>
          </cell>
        </row>
        <row r="4">
          <cell r="B4">
            <v>447</v>
          </cell>
        </row>
        <row r="5">
          <cell r="B5">
            <v>301</v>
          </cell>
        </row>
        <row r="6">
          <cell r="B6">
            <v>273</v>
          </cell>
        </row>
        <row r="7">
          <cell r="B7">
            <v>248</v>
          </cell>
        </row>
        <row r="8">
          <cell r="B8">
            <v>168</v>
          </cell>
        </row>
        <row r="9">
          <cell r="B9">
            <v>197</v>
          </cell>
        </row>
        <row r="10">
          <cell r="B10">
            <v>283</v>
          </cell>
        </row>
        <row r="11">
          <cell r="B11">
            <v>774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_stat_stem_GC_AT_freq"/>
    </sheetNames>
    <sheetDataSet>
      <sheetData sheetId="0">
        <row r="2">
          <cell r="B2">
            <v>117</v>
          </cell>
        </row>
        <row r="3">
          <cell r="B3">
            <v>18</v>
          </cell>
        </row>
        <row r="4">
          <cell r="B4">
            <v>10</v>
          </cell>
        </row>
        <row r="5">
          <cell r="B5">
            <v>12</v>
          </cell>
        </row>
        <row r="6">
          <cell r="B6">
            <v>9</v>
          </cell>
        </row>
        <row r="7">
          <cell r="B7">
            <v>7</v>
          </cell>
        </row>
        <row r="8">
          <cell r="B8">
            <v>4</v>
          </cell>
        </row>
        <row r="9">
          <cell r="B9">
            <v>0</v>
          </cell>
        </row>
        <row r="10">
          <cell r="B10">
            <v>5</v>
          </cell>
        </row>
        <row r="11">
          <cell r="B11">
            <v>4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2_stat_stem_GC_AT_freq"/>
    </sheetNames>
    <sheetDataSet>
      <sheetData sheetId="0">
        <row r="2">
          <cell r="B2">
            <v>511</v>
          </cell>
        </row>
        <row r="3">
          <cell r="B3">
            <v>79</v>
          </cell>
        </row>
        <row r="4">
          <cell r="B4">
            <v>35</v>
          </cell>
        </row>
        <row r="5">
          <cell r="B5">
            <v>35</v>
          </cell>
        </row>
        <row r="6">
          <cell r="B6">
            <v>30</v>
          </cell>
        </row>
        <row r="7">
          <cell r="B7">
            <v>14</v>
          </cell>
        </row>
        <row r="8">
          <cell r="B8">
            <v>22</v>
          </cell>
        </row>
        <row r="9">
          <cell r="B9">
            <v>21</v>
          </cell>
        </row>
        <row r="10">
          <cell r="B10">
            <v>18</v>
          </cell>
        </row>
        <row r="11">
          <cell r="B11">
            <v>47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3_stat_stem_GC_AT_freq"/>
    </sheetNames>
    <sheetDataSet>
      <sheetData sheetId="0">
        <row r="2">
          <cell r="B2">
            <v>939</v>
          </cell>
        </row>
        <row r="3">
          <cell r="B3">
            <v>122</v>
          </cell>
        </row>
        <row r="4">
          <cell r="B4">
            <v>76</v>
          </cell>
        </row>
        <row r="5">
          <cell r="B5">
            <v>50</v>
          </cell>
        </row>
        <row r="6">
          <cell r="B6">
            <v>31</v>
          </cell>
        </row>
        <row r="7">
          <cell r="B7">
            <v>29</v>
          </cell>
        </row>
        <row r="8">
          <cell r="B8">
            <v>24</v>
          </cell>
        </row>
        <row r="9">
          <cell r="B9">
            <v>39</v>
          </cell>
        </row>
        <row r="10">
          <cell r="B10">
            <v>41</v>
          </cell>
        </row>
        <row r="11">
          <cell r="B11">
            <v>74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4_stat_stem_GC_AT_freq"/>
    </sheetNames>
    <sheetDataSet>
      <sheetData sheetId="0">
        <row r="2">
          <cell r="B2">
            <v>1086</v>
          </cell>
        </row>
        <row r="3">
          <cell r="B3">
            <v>146</v>
          </cell>
        </row>
        <row r="4">
          <cell r="B4">
            <v>95</v>
          </cell>
        </row>
        <row r="5">
          <cell r="B5">
            <v>69</v>
          </cell>
        </row>
        <row r="6">
          <cell r="B6">
            <v>46</v>
          </cell>
        </row>
        <row r="7">
          <cell r="B7">
            <v>47</v>
          </cell>
        </row>
        <row r="8">
          <cell r="B8">
            <v>40</v>
          </cell>
        </row>
        <row r="9">
          <cell r="B9">
            <v>45</v>
          </cell>
        </row>
        <row r="10">
          <cell r="B10">
            <v>45</v>
          </cell>
        </row>
        <row r="11">
          <cell r="B11">
            <v>111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5_stat_stem_GC_AT_freq"/>
    </sheetNames>
    <sheetDataSet>
      <sheetData sheetId="0">
        <row r="2">
          <cell r="B2">
            <v>1031</v>
          </cell>
        </row>
        <row r="3">
          <cell r="B3">
            <v>164</v>
          </cell>
        </row>
        <row r="4">
          <cell r="B4">
            <v>68</v>
          </cell>
        </row>
        <row r="5">
          <cell r="B5">
            <v>48</v>
          </cell>
        </row>
        <row r="6">
          <cell r="B6">
            <v>53</v>
          </cell>
        </row>
        <row r="7">
          <cell r="B7">
            <v>46</v>
          </cell>
        </row>
        <row r="8">
          <cell r="B8">
            <v>40</v>
          </cell>
        </row>
        <row r="9">
          <cell r="B9">
            <v>43</v>
          </cell>
        </row>
        <row r="10">
          <cell r="B10">
            <v>58</v>
          </cell>
        </row>
        <row r="11">
          <cell r="B11">
            <v>95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6_stat_stem_GC_AT_freq"/>
    </sheetNames>
    <sheetDataSet>
      <sheetData sheetId="0">
        <row r="2">
          <cell r="B2">
            <v>959</v>
          </cell>
        </row>
        <row r="3">
          <cell r="B3">
            <v>118</v>
          </cell>
        </row>
        <row r="4">
          <cell r="B4">
            <v>71</v>
          </cell>
        </row>
        <row r="5">
          <cell r="B5">
            <v>54</v>
          </cell>
        </row>
        <row r="6">
          <cell r="B6">
            <v>53</v>
          </cell>
        </row>
        <row r="7">
          <cell r="B7">
            <v>42</v>
          </cell>
        </row>
        <row r="8">
          <cell r="B8">
            <v>35</v>
          </cell>
        </row>
        <row r="9">
          <cell r="B9">
            <v>37</v>
          </cell>
        </row>
        <row r="10">
          <cell r="B10">
            <v>43</v>
          </cell>
        </row>
        <row r="11">
          <cell r="B11">
            <v>105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7_stat_stem_GC_AT_freq"/>
    </sheetNames>
    <sheetDataSet>
      <sheetData sheetId="0">
        <row r="2">
          <cell r="B2">
            <v>709</v>
          </cell>
        </row>
        <row r="3">
          <cell r="B3">
            <v>119</v>
          </cell>
        </row>
        <row r="4">
          <cell r="B4">
            <v>59</v>
          </cell>
        </row>
        <row r="5">
          <cell r="B5">
            <v>42</v>
          </cell>
        </row>
        <row r="6">
          <cell r="B6">
            <v>31</v>
          </cell>
        </row>
        <row r="7">
          <cell r="B7">
            <v>34</v>
          </cell>
        </row>
        <row r="8">
          <cell r="B8">
            <v>17</v>
          </cell>
        </row>
        <row r="9">
          <cell r="B9">
            <v>38</v>
          </cell>
        </row>
        <row r="10">
          <cell r="B10">
            <v>32</v>
          </cell>
        </row>
        <row r="11">
          <cell r="B11">
            <v>99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8_stat_stem_GC_AT_freq"/>
    </sheetNames>
    <sheetDataSet>
      <sheetData sheetId="0">
        <row r="2">
          <cell r="B2">
            <v>572</v>
          </cell>
        </row>
        <row r="3">
          <cell r="B3">
            <v>96</v>
          </cell>
        </row>
        <row r="4">
          <cell r="B4">
            <v>55</v>
          </cell>
        </row>
        <row r="5">
          <cell r="B5">
            <v>31</v>
          </cell>
        </row>
        <row r="6">
          <cell r="B6">
            <v>25</v>
          </cell>
        </row>
        <row r="7">
          <cell r="B7">
            <v>25</v>
          </cell>
        </row>
        <row r="8">
          <cell r="B8">
            <v>30</v>
          </cell>
        </row>
        <row r="9">
          <cell r="B9">
            <v>17</v>
          </cell>
        </row>
        <row r="10">
          <cell r="B10">
            <v>43</v>
          </cell>
        </row>
        <row r="11">
          <cell r="B11">
            <v>70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9_stat_stem_GC_AT_freq"/>
    </sheetNames>
    <sheetDataSet>
      <sheetData sheetId="0">
        <row r="2">
          <cell r="B2">
            <v>402</v>
          </cell>
        </row>
        <row r="3">
          <cell r="B3">
            <v>69</v>
          </cell>
        </row>
        <row r="4">
          <cell r="B4">
            <v>41</v>
          </cell>
        </row>
        <row r="5">
          <cell r="B5">
            <v>26</v>
          </cell>
        </row>
        <row r="6">
          <cell r="B6">
            <v>27</v>
          </cell>
        </row>
        <row r="7">
          <cell r="B7">
            <v>10</v>
          </cell>
        </row>
        <row r="8">
          <cell r="B8">
            <v>13</v>
          </cell>
        </row>
        <row r="9">
          <cell r="B9">
            <v>21</v>
          </cell>
        </row>
        <row r="10">
          <cell r="B10">
            <v>21</v>
          </cell>
        </row>
        <row r="11">
          <cell r="B11">
            <v>49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0_stat_stem_GC_AT_fre"/>
    </sheetNames>
    <sheetDataSet>
      <sheetData sheetId="0">
        <row r="2">
          <cell r="B2">
            <v>295</v>
          </cell>
        </row>
        <row r="3">
          <cell r="B3">
            <v>55</v>
          </cell>
        </row>
        <row r="4">
          <cell r="B4">
            <v>28</v>
          </cell>
        </row>
        <row r="5">
          <cell r="B5">
            <v>16</v>
          </cell>
        </row>
        <row r="6">
          <cell r="B6">
            <v>21</v>
          </cell>
        </row>
        <row r="7">
          <cell r="B7">
            <v>16</v>
          </cell>
        </row>
        <row r="8">
          <cell r="B8">
            <v>15</v>
          </cell>
        </row>
        <row r="9">
          <cell r="B9">
            <v>17</v>
          </cell>
        </row>
        <row r="10">
          <cell r="B10">
            <v>12</v>
          </cell>
        </row>
        <row r="11">
          <cell r="B11">
            <v>29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GC_AT_freq_1"/>
    </sheetNames>
    <sheetDataSet>
      <sheetData sheetId="0">
        <row r="2">
          <cell r="B2">
            <v>6808</v>
          </cell>
        </row>
        <row r="3">
          <cell r="B3">
            <v>989</v>
          </cell>
        </row>
        <row r="4">
          <cell r="B4">
            <v>557</v>
          </cell>
        </row>
        <row r="5">
          <cell r="B5">
            <v>379</v>
          </cell>
        </row>
        <row r="6">
          <cell r="B6">
            <v>334</v>
          </cell>
        </row>
        <row r="7">
          <cell r="B7">
            <v>278</v>
          </cell>
        </row>
        <row r="8">
          <cell r="B8">
            <v>248</v>
          </cell>
        </row>
        <row r="9">
          <cell r="B9">
            <v>286</v>
          </cell>
        </row>
        <row r="10">
          <cell r="B10">
            <v>325</v>
          </cell>
        </row>
        <row r="11">
          <cell r="B11">
            <v>685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1_stat_stem_GC_AT_fre"/>
    </sheetNames>
    <sheetDataSet>
      <sheetData sheetId="0">
        <row r="2">
          <cell r="B2">
            <v>274</v>
          </cell>
        </row>
        <row r="3">
          <cell r="B3">
            <v>29</v>
          </cell>
        </row>
        <row r="4">
          <cell r="B4">
            <v>23</v>
          </cell>
        </row>
        <row r="5">
          <cell r="B5">
            <v>15</v>
          </cell>
        </row>
        <row r="6">
          <cell r="B6">
            <v>11</v>
          </cell>
        </row>
        <row r="7">
          <cell r="B7">
            <v>9</v>
          </cell>
        </row>
        <row r="8">
          <cell r="B8">
            <v>10</v>
          </cell>
        </row>
        <row r="9">
          <cell r="B9">
            <v>13</v>
          </cell>
        </row>
        <row r="10">
          <cell r="B10">
            <v>8</v>
          </cell>
        </row>
        <row r="11">
          <cell r="B11">
            <v>36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2_stat_stem_GC_AT_fre"/>
    </sheetNames>
    <sheetDataSet>
      <sheetData sheetId="0">
        <row r="2">
          <cell r="B2">
            <v>192</v>
          </cell>
        </row>
        <row r="3">
          <cell r="B3">
            <v>26</v>
          </cell>
        </row>
        <row r="4">
          <cell r="B4">
            <v>18</v>
          </cell>
        </row>
        <row r="5">
          <cell r="B5">
            <v>12</v>
          </cell>
        </row>
        <row r="6">
          <cell r="B6">
            <v>11</v>
          </cell>
        </row>
        <row r="7">
          <cell r="B7">
            <v>6</v>
          </cell>
        </row>
        <row r="8">
          <cell r="B8">
            <v>4</v>
          </cell>
        </row>
        <row r="9">
          <cell r="B9">
            <v>7</v>
          </cell>
        </row>
        <row r="10">
          <cell r="B10">
            <v>6</v>
          </cell>
        </row>
        <row r="11">
          <cell r="B11">
            <v>24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3_stat_stem_GC_AT_fre"/>
    </sheetNames>
    <sheetDataSet>
      <sheetData sheetId="0">
        <row r="2">
          <cell r="B2">
            <v>130</v>
          </cell>
        </row>
        <row r="3">
          <cell r="B3">
            <v>14</v>
          </cell>
        </row>
        <row r="4">
          <cell r="B4">
            <v>11</v>
          </cell>
        </row>
        <row r="5">
          <cell r="B5">
            <v>5</v>
          </cell>
        </row>
        <row r="6">
          <cell r="B6">
            <v>10</v>
          </cell>
        </row>
        <row r="7">
          <cell r="B7">
            <v>3</v>
          </cell>
        </row>
        <row r="8">
          <cell r="B8">
            <v>10</v>
          </cell>
        </row>
        <row r="9">
          <cell r="B9">
            <v>6</v>
          </cell>
        </row>
        <row r="10">
          <cell r="B10">
            <v>5</v>
          </cell>
        </row>
        <row r="11">
          <cell r="B11">
            <v>17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4_stat_stem_GC_AT_fre"/>
    </sheetNames>
    <sheetDataSet>
      <sheetData sheetId="0">
        <row r="2">
          <cell r="B2">
            <v>89</v>
          </cell>
        </row>
        <row r="3">
          <cell r="B3">
            <v>22</v>
          </cell>
        </row>
        <row r="4">
          <cell r="B4">
            <v>10</v>
          </cell>
        </row>
        <row r="5">
          <cell r="B5">
            <v>3</v>
          </cell>
        </row>
        <row r="6">
          <cell r="B6">
            <v>5</v>
          </cell>
        </row>
        <row r="7">
          <cell r="B7">
            <v>3</v>
          </cell>
        </row>
        <row r="8">
          <cell r="B8">
            <v>5</v>
          </cell>
        </row>
        <row r="9">
          <cell r="B9">
            <v>4</v>
          </cell>
        </row>
        <row r="10">
          <cell r="B10">
            <v>8</v>
          </cell>
        </row>
        <row r="11">
          <cell r="B11">
            <v>6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5_stat_stem_GC_AT_fre"/>
    </sheetNames>
    <sheetDataSet>
      <sheetData sheetId="0">
        <row r="2">
          <cell r="B2">
            <v>52</v>
          </cell>
        </row>
        <row r="3">
          <cell r="B3">
            <v>7</v>
          </cell>
        </row>
        <row r="4">
          <cell r="B4">
            <v>5</v>
          </cell>
        </row>
        <row r="5">
          <cell r="B5">
            <v>5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4</v>
          </cell>
        </row>
        <row r="9">
          <cell r="B9">
            <v>5</v>
          </cell>
        </row>
        <row r="10">
          <cell r="B10">
            <v>4</v>
          </cell>
        </row>
        <row r="11">
          <cell r="B11">
            <v>9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1_stat_loop_AT_GC_freq"/>
    </sheetNames>
    <sheetDataSet>
      <sheetData sheetId="0">
        <row r="2">
          <cell r="B2">
            <v>407</v>
          </cell>
        </row>
        <row r="3">
          <cell r="B3">
            <v>63</v>
          </cell>
        </row>
        <row r="4">
          <cell r="B4">
            <v>56</v>
          </cell>
        </row>
        <row r="5">
          <cell r="B5">
            <v>39</v>
          </cell>
        </row>
        <row r="6">
          <cell r="B6">
            <v>26</v>
          </cell>
        </row>
        <row r="7">
          <cell r="B7">
            <v>18</v>
          </cell>
        </row>
        <row r="8">
          <cell r="B8">
            <v>23</v>
          </cell>
        </row>
        <row r="9">
          <cell r="B9">
            <v>23</v>
          </cell>
        </row>
        <row r="10">
          <cell r="B10">
            <v>37</v>
          </cell>
        </row>
        <row r="11">
          <cell r="B11">
            <v>94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2_stat_loop_AT_GC_freq"/>
    </sheetNames>
    <sheetDataSet>
      <sheetData sheetId="0">
        <row r="2">
          <cell r="B2">
            <v>510</v>
          </cell>
        </row>
        <row r="3">
          <cell r="B3">
            <v>76</v>
          </cell>
        </row>
        <row r="4">
          <cell r="B4">
            <v>57</v>
          </cell>
        </row>
        <row r="5">
          <cell r="B5">
            <v>27</v>
          </cell>
        </row>
        <row r="6">
          <cell r="B6">
            <v>30</v>
          </cell>
        </row>
        <row r="7">
          <cell r="B7">
            <v>34</v>
          </cell>
        </row>
        <row r="8">
          <cell r="B8">
            <v>26</v>
          </cell>
        </row>
        <row r="9">
          <cell r="B9">
            <v>29</v>
          </cell>
        </row>
        <row r="10">
          <cell r="B10">
            <v>39</v>
          </cell>
        </row>
        <row r="11">
          <cell r="B11">
            <v>125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3_stat_loop_AT_GC_freq"/>
    </sheetNames>
    <sheetDataSet>
      <sheetData sheetId="0">
        <row r="2">
          <cell r="B2">
            <v>445</v>
          </cell>
        </row>
        <row r="3">
          <cell r="B3">
            <v>77</v>
          </cell>
        </row>
        <row r="4">
          <cell r="B4">
            <v>53</v>
          </cell>
        </row>
        <row r="5">
          <cell r="B5">
            <v>35</v>
          </cell>
        </row>
        <row r="6">
          <cell r="B6">
            <v>23</v>
          </cell>
        </row>
        <row r="7">
          <cell r="B7">
            <v>21</v>
          </cell>
        </row>
        <row r="8">
          <cell r="B8">
            <v>16</v>
          </cell>
        </row>
        <row r="9">
          <cell r="B9">
            <v>20</v>
          </cell>
        </row>
        <row r="10">
          <cell r="B10">
            <v>23</v>
          </cell>
        </row>
        <row r="11">
          <cell r="B11">
            <v>77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4_stat_loop_AT_GC_freq"/>
    </sheetNames>
    <sheetDataSet>
      <sheetData sheetId="0">
        <row r="2">
          <cell r="B2">
            <v>554</v>
          </cell>
        </row>
        <row r="3">
          <cell r="B3">
            <v>124</v>
          </cell>
        </row>
        <row r="4">
          <cell r="B4">
            <v>55</v>
          </cell>
        </row>
        <row r="5">
          <cell r="B5">
            <v>42</v>
          </cell>
        </row>
        <row r="6">
          <cell r="B6">
            <v>36</v>
          </cell>
        </row>
        <row r="7">
          <cell r="B7">
            <v>33</v>
          </cell>
        </row>
        <row r="8">
          <cell r="B8">
            <v>31</v>
          </cell>
        </row>
        <row r="9">
          <cell r="B9">
            <v>26</v>
          </cell>
        </row>
        <row r="10">
          <cell r="B10">
            <v>37</v>
          </cell>
        </row>
        <row r="11">
          <cell r="B11">
            <v>116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5_stat_loop_AT_GC_freq"/>
    </sheetNames>
    <sheetDataSet>
      <sheetData sheetId="0">
        <row r="2">
          <cell r="B2">
            <v>482</v>
          </cell>
        </row>
        <row r="3">
          <cell r="B3">
            <v>91</v>
          </cell>
        </row>
        <row r="4">
          <cell r="B4">
            <v>41</v>
          </cell>
        </row>
        <row r="5">
          <cell r="B5">
            <v>35</v>
          </cell>
        </row>
        <row r="6">
          <cell r="B6">
            <v>30</v>
          </cell>
        </row>
        <row r="7">
          <cell r="B7">
            <v>29</v>
          </cell>
        </row>
        <row r="8">
          <cell r="B8">
            <v>20</v>
          </cell>
        </row>
        <row r="9">
          <cell r="B9">
            <v>28</v>
          </cell>
        </row>
        <row r="10">
          <cell r="B10">
            <v>35</v>
          </cell>
        </row>
        <row r="11">
          <cell r="B11">
            <v>73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3" sqref="C33"/>
    </sheetView>
  </sheetViews>
  <sheetFormatPr baseColWidth="10" defaultRowHeight="15" x14ac:dyDescent="0.15"/>
  <cols>
    <col min="1" max="1" width="22.5" style="1" bestFit="1" customWidth="1"/>
    <col min="2" max="2" width="10.83203125" style="4"/>
  </cols>
  <sheetData>
    <row r="1" spans="1:3" x14ac:dyDescent="0.15">
      <c r="A1" s="3" t="s">
        <v>0</v>
      </c>
      <c r="B1" s="17" t="s">
        <v>5</v>
      </c>
      <c r="C1" s="17" t="s">
        <v>7</v>
      </c>
    </row>
    <row r="2" spans="1:3" x14ac:dyDescent="0.15">
      <c r="A2" s="3" t="s">
        <v>1</v>
      </c>
      <c r="B2" s="37">
        <f>[1]dd_SNPs!B2</f>
        <v>175391</v>
      </c>
      <c r="C2" s="17"/>
    </row>
    <row r="3" spans="1:3" x14ac:dyDescent="0.15">
      <c r="A3" s="3" t="s">
        <v>33</v>
      </c>
      <c r="B3" s="37">
        <f>[1]dd_SNPs!B3</f>
        <v>44609</v>
      </c>
      <c r="C3" s="17"/>
    </row>
    <row r="4" spans="1:3" x14ac:dyDescent="0.15">
      <c r="A4" s="3" t="s">
        <v>2</v>
      </c>
      <c r="B4" s="37">
        <f>[1]dd_SNPs!B4</f>
        <v>62041</v>
      </c>
      <c r="C4" s="17"/>
    </row>
    <row r="5" spans="1:3" x14ac:dyDescent="0.15">
      <c r="A5" s="3" t="s">
        <v>3</v>
      </c>
      <c r="B5" s="37">
        <f>[1]dd_SNPs!B5</f>
        <v>53518</v>
      </c>
      <c r="C5" s="47">
        <f>[2]dd_gene!B2</f>
        <v>2078</v>
      </c>
    </row>
    <row r="6" spans="1:3" x14ac:dyDescent="0.15">
      <c r="A6" s="3" t="s">
        <v>4</v>
      </c>
      <c r="B6" s="37">
        <f>[1]dd_SNPs!B6</f>
        <v>49418</v>
      </c>
      <c r="C6" s="47">
        <f>[2]dd_gene!B3</f>
        <v>2078</v>
      </c>
    </row>
    <row r="7" spans="1:3" x14ac:dyDescent="0.15">
      <c r="A7" s="3" t="s">
        <v>67</v>
      </c>
      <c r="B7" s="37">
        <f>[1]dd_SNPs!B7</f>
        <v>42260</v>
      </c>
      <c r="C7" s="47">
        <f>[2]dd_gene!B4</f>
        <v>2062</v>
      </c>
    </row>
    <row r="8" spans="1:3" x14ac:dyDescent="0.15">
      <c r="A8" s="3" t="s">
        <v>68</v>
      </c>
      <c r="B8" s="37">
        <f>[1]dd_SNPs!B8</f>
        <v>7134</v>
      </c>
      <c r="C8" s="47">
        <f>[2]dd_gene!B5</f>
        <v>1750</v>
      </c>
    </row>
    <row r="9" spans="1:3" x14ac:dyDescent="0.15">
      <c r="A9" s="3" t="s">
        <v>69</v>
      </c>
      <c r="B9" s="37">
        <f>[1]dd_SNPs!B9</f>
        <v>21982</v>
      </c>
      <c r="C9" s="47">
        <f>[2]dd_gene!B6</f>
        <v>1929</v>
      </c>
    </row>
    <row r="10" spans="1:3" x14ac:dyDescent="0.15">
      <c r="A10" s="3" t="s">
        <v>70</v>
      </c>
      <c r="B10" s="37">
        <f>[1]dd_SNPs!B10</f>
        <v>17680</v>
      </c>
      <c r="C10" s="47">
        <f>[2]dd_gene!B7</f>
        <v>1892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Q1" zoomScale="90" zoomScaleNormal="90" zoomScalePageLayoutView="90" workbookViewId="0">
      <selection activeCell="B72" sqref="B72:Q72"/>
    </sheetView>
  </sheetViews>
  <sheetFormatPr baseColWidth="10" defaultRowHeight="15" x14ac:dyDescent="0.15"/>
  <cols>
    <col min="2" max="2" width="28.5" bestFit="1" customWidth="1"/>
    <col min="3" max="3" width="37.5" bestFit="1" customWidth="1"/>
    <col min="4" max="4" width="50.5" bestFit="1" customWidth="1"/>
    <col min="5" max="5" width="32.5" bestFit="1" customWidth="1"/>
    <col min="6" max="6" width="35.5" bestFit="1" customWidth="1"/>
    <col min="7" max="8" width="29.5" bestFit="1" customWidth="1"/>
    <col min="9" max="9" width="28.5" bestFit="1" customWidth="1"/>
    <col min="10" max="10" width="41.5" bestFit="1" customWidth="1"/>
    <col min="11" max="11" width="60.5" bestFit="1" customWidth="1"/>
    <col min="12" max="12" width="16.5" bestFit="1" customWidth="1"/>
    <col min="13" max="13" width="29.5" bestFit="1" customWidth="1"/>
    <col min="14" max="14" width="31.5" bestFit="1" customWidth="1"/>
    <col min="15" max="15" width="39.5" bestFit="1" customWidth="1"/>
    <col min="16" max="16" width="25.5" bestFit="1" customWidth="1"/>
    <col min="17" max="17" width="34.5" bestFit="1" customWidth="1"/>
  </cols>
  <sheetData>
    <row r="1" spans="1:28" x14ac:dyDescent="0.15">
      <c r="B1" s="23" t="s">
        <v>124</v>
      </c>
      <c r="C1" s="23" t="s">
        <v>125</v>
      </c>
      <c r="D1" s="23" t="s">
        <v>126</v>
      </c>
      <c r="E1" s="23" t="s">
        <v>127</v>
      </c>
      <c r="F1" s="23" t="s">
        <v>128</v>
      </c>
      <c r="G1" s="23" t="s">
        <v>129</v>
      </c>
      <c r="H1" s="23" t="s">
        <v>130</v>
      </c>
      <c r="I1" s="23" t="s">
        <v>131</v>
      </c>
      <c r="J1" s="23" t="s">
        <v>132</v>
      </c>
      <c r="K1" s="23" t="s">
        <v>133</v>
      </c>
      <c r="L1" s="23" t="s">
        <v>134</v>
      </c>
      <c r="M1" s="23" t="s">
        <v>135</v>
      </c>
      <c r="N1" s="23" t="s">
        <v>136</v>
      </c>
      <c r="O1" s="23" t="s">
        <v>137</v>
      </c>
      <c r="P1" s="23" t="s">
        <v>138</v>
      </c>
      <c r="Q1" s="23" t="s">
        <v>139</v>
      </c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15">
      <c r="B2" s="23" t="s">
        <v>95</v>
      </c>
      <c r="C2" s="23" t="s">
        <v>96</v>
      </c>
      <c r="D2" s="23" t="s">
        <v>97</v>
      </c>
      <c r="E2" s="23" t="s">
        <v>98</v>
      </c>
      <c r="F2" s="23" t="s">
        <v>99</v>
      </c>
      <c r="G2" s="23" t="s">
        <v>100</v>
      </c>
      <c r="H2" s="23" t="s">
        <v>101</v>
      </c>
      <c r="I2" s="23" t="s">
        <v>102</v>
      </c>
      <c r="J2" s="23" t="s">
        <v>103</v>
      </c>
      <c r="K2" s="23" t="s">
        <v>104</v>
      </c>
      <c r="L2" s="23" t="s">
        <v>105</v>
      </c>
      <c r="M2" s="23" t="s">
        <v>106</v>
      </c>
      <c r="N2" s="23" t="s">
        <v>107</v>
      </c>
      <c r="O2" s="23" t="s">
        <v>108</v>
      </c>
      <c r="P2" s="23" t="s">
        <v>109</v>
      </c>
      <c r="Q2" s="23" t="s">
        <v>110</v>
      </c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15">
      <c r="A3" s="27"/>
      <c r="B3" s="23" t="s">
        <v>111</v>
      </c>
      <c r="C3" s="23" t="s">
        <v>112</v>
      </c>
      <c r="D3" s="23" t="s">
        <v>113</v>
      </c>
      <c r="E3" s="23" t="s">
        <v>114</v>
      </c>
      <c r="F3" s="23" t="s">
        <v>115</v>
      </c>
      <c r="G3" s="23" t="s">
        <v>116</v>
      </c>
      <c r="H3" s="23" t="s">
        <v>117</v>
      </c>
      <c r="I3" s="23" t="s">
        <v>118</v>
      </c>
      <c r="J3" s="23" t="s">
        <v>119</v>
      </c>
      <c r="K3" s="23" t="s">
        <v>239</v>
      </c>
      <c r="L3" s="23" t="s">
        <v>120</v>
      </c>
      <c r="M3" s="23" t="s">
        <v>94</v>
      </c>
      <c r="N3" s="23" t="s">
        <v>121</v>
      </c>
      <c r="O3" s="23" t="s">
        <v>122</v>
      </c>
      <c r="P3" s="23" t="s">
        <v>93</v>
      </c>
      <c r="Q3" s="23" t="s">
        <v>240</v>
      </c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15">
      <c r="A4" s="27" t="s">
        <v>236</v>
      </c>
      <c r="B4" s="23">
        <v>338</v>
      </c>
      <c r="C4" s="23">
        <v>219</v>
      </c>
      <c r="D4" s="23">
        <v>587</v>
      </c>
      <c r="E4" s="23">
        <v>725</v>
      </c>
      <c r="F4" s="23">
        <v>487</v>
      </c>
      <c r="G4" s="23">
        <v>54</v>
      </c>
      <c r="H4" s="23">
        <v>57</v>
      </c>
      <c r="I4" s="23">
        <v>881</v>
      </c>
      <c r="J4" s="23">
        <v>114</v>
      </c>
      <c r="K4" s="23">
        <v>39</v>
      </c>
      <c r="L4" s="23">
        <v>74</v>
      </c>
      <c r="M4" s="23">
        <v>102</v>
      </c>
      <c r="N4" s="23">
        <v>31</v>
      </c>
      <c r="O4" s="23">
        <v>114</v>
      </c>
      <c r="P4" s="23">
        <v>77</v>
      </c>
      <c r="Q4" s="23">
        <v>47</v>
      </c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x14ac:dyDescent="0.15">
      <c r="A5" s="29" t="s">
        <v>23</v>
      </c>
      <c r="B5" s="30" t="s">
        <v>24</v>
      </c>
      <c r="C5" s="30" t="s">
        <v>123</v>
      </c>
      <c r="D5" s="30" t="s">
        <v>24</v>
      </c>
      <c r="E5" s="30" t="s">
        <v>24</v>
      </c>
      <c r="F5" s="30" t="s">
        <v>24</v>
      </c>
      <c r="G5" s="30" t="s">
        <v>24</v>
      </c>
      <c r="H5" s="30" t="s">
        <v>24</v>
      </c>
      <c r="I5" s="30" t="s">
        <v>24</v>
      </c>
      <c r="J5" s="30" t="s">
        <v>123</v>
      </c>
      <c r="K5" s="30" t="s">
        <v>24</v>
      </c>
      <c r="L5" s="30" t="s">
        <v>24</v>
      </c>
      <c r="M5" s="30" t="s">
        <v>24</v>
      </c>
      <c r="N5" s="30" t="s">
        <v>24</v>
      </c>
      <c r="O5" s="30" t="s">
        <v>24</v>
      </c>
      <c r="P5" s="30" t="s">
        <v>24</v>
      </c>
      <c r="Q5" s="30" t="s">
        <v>123</v>
      </c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15">
      <c r="A6" s="29" t="s">
        <v>52</v>
      </c>
      <c r="B6" s="29">
        <f>[125]CC_1_stat_stem_AT_GC_freq_10!B2</f>
        <v>990</v>
      </c>
      <c r="C6" s="30">
        <f>[126]CC_2_stat_stem_AT_GC_freq_10!B2</f>
        <v>593</v>
      </c>
      <c r="D6" s="30">
        <f>[127]CC_3_stat_stem_AT_GC_freq_10!B2</f>
        <v>1662</v>
      </c>
      <c r="E6" s="30">
        <f>[128]CC_4_stat_stem_AT_GC_freq_10!B2</f>
        <v>1951</v>
      </c>
      <c r="F6" s="30">
        <f>[129]CC_5_stat_stem_AT_GC_freq_10!B2</f>
        <v>1171</v>
      </c>
      <c r="G6" s="30">
        <f>[130]CC_6_stat_stem_AT_GC_freq_10!B2</f>
        <v>141</v>
      </c>
      <c r="H6" s="30">
        <f>[131]CC_7_stat_stem_AT_GC_freq_10!B2</f>
        <v>139</v>
      </c>
      <c r="I6" s="30">
        <f>[132]CC_8_stat_stem_AT_GC_freq_10!B2</f>
        <v>2227</v>
      </c>
      <c r="J6" s="30">
        <f>[133]CC_9_stat_stem_AT_GC_freq_10!B2</f>
        <v>181</v>
      </c>
      <c r="K6" s="30">
        <f>[134]CC_10_stat_stem_AT_GC_freq_10!B2</f>
        <v>78</v>
      </c>
      <c r="L6" s="30">
        <f>[135]CC_11_stat_stem_AT_GC_freq_10!B2</f>
        <v>175</v>
      </c>
      <c r="M6" s="30">
        <f>[136]CC_12_stat_stem_AT_GC_freq_10!B2</f>
        <v>316</v>
      </c>
      <c r="N6" s="30">
        <f>[137]CC_13_stat_stem_AT_GC_freq_10!B2</f>
        <v>63</v>
      </c>
      <c r="O6" s="30">
        <f>[138]CC_14_stat_stem_AT_GC_freq_10!B2</f>
        <v>302</v>
      </c>
      <c r="P6" s="30">
        <f>[139]CC_15_stat_stem_AT_GC_freq_10!B2</f>
        <v>228</v>
      </c>
      <c r="Q6" s="30">
        <f>[140]CC_16_stat_stem_AT_GC_freq_10!B2</f>
        <v>74</v>
      </c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15">
      <c r="A7" s="29" t="s">
        <v>38</v>
      </c>
      <c r="B7" s="29">
        <f>[125]CC_1_stat_stem_AT_GC_freq_10!B3</f>
        <v>157</v>
      </c>
      <c r="C7" s="30">
        <f>[126]CC_2_stat_stem_AT_GC_freq_10!B3</f>
        <v>99</v>
      </c>
      <c r="D7" s="30">
        <f>[127]CC_3_stat_stem_AT_GC_freq_10!B3</f>
        <v>287</v>
      </c>
      <c r="E7" s="30">
        <f>[128]CC_4_stat_stem_AT_GC_freq_10!B3</f>
        <v>349</v>
      </c>
      <c r="F7" s="30">
        <f>[129]CC_5_stat_stem_AT_GC_freq_10!B3</f>
        <v>200</v>
      </c>
      <c r="G7" s="30">
        <f>[130]CC_6_stat_stem_AT_GC_freq_10!B3</f>
        <v>18</v>
      </c>
      <c r="H7" s="30">
        <f>[131]CC_7_stat_stem_AT_GC_freq_10!B3</f>
        <v>21</v>
      </c>
      <c r="I7" s="30">
        <f>[132]CC_8_stat_stem_AT_GC_freq_10!B3</f>
        <v>362</v>
      </c>
      <c r="J7" s="30">
        <f>[133]CC_9_stat_stem_AT_GC_freq_10!B3</f>
        <v>42</v>
      </c>
      <c r="K7" s="30">
        <f>[134]CC_10_stat_stem_AT_GC_freq_10!B3</f>
        <v>17</v>
      </c>
      <c r="L7" s="30">
        <f>[135]CC_11_stat_stem_AT_GC_freq_10!B3</f>
        <v>37</v>
      </c>
      <c r="M7" s="30">
        <f>[136]CC_12_stat_stem_AT_GC_freq_10!B3</f>
        <v>66</v>
      </c>
      <c r="N7" s="30">
        <f>[137]CC_13_stat_stem_AT_GC_freq_10!B3</f>
        <v>12</v>
      </c>
      <c r="O7" s="30">
        <f>[138]CC_14_stat_stem_AT_GC_freq_10!B3</f>
        <v>58</v>
      </c>
      <c r="P7" s="30">
        <f>[139]CC_15_stat_stem_AT_GC_freq_10!B3</f>
        <v>27</v>
      </c>
      <c r="Q7" s="30">
        <f>[140]CC_16_stat_stem_AT_GC_freq_10!B3</f>
        <v>14</v>
      </c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15">
      <c r="A8" s="29" t="s">
        <v>53</v>
      </c>
      <c r="B8" s="29">
        <f>[125]CC_1_stat_stem_AT_GC_freq_10!B4</f>
        <v>105</v>
      </c>
      <c r="C8" s="30">
        <f>[126]CC_2_stat_stem_AT_GC_freq_10!B4</f>
        <v>50</v>
      </c>
      <c r="D8" s="30">
        <f>[127]CC_3_stat_stem_AT_GC_freq_10!B4</f>
        <v>168</v>
      </c>
      <c r="E8" s="30">
        <f>[128]CC_4_stat_stem_AT_GC_freq_10!B4</f>
        <v>204</v>
      </c>
      <c r="F8" s="30">
        <f>[129]CC_5_stat_stem_AT_GC_freq_10!B4</f>
        <v>109</v>
      </c>
      <c r="G8" s="30">
        <f>[130]CC_6_stat_stem_AT_GC_freq_10!B4</f>
        <v>19</v>
      </c>
      <c r="H8" s="30">
        <f>[131]CC_7_stat_stem_AT_GC_freq_10!B4</f>
        <v>10</v>
      </c>
      <c r="I8" s="30">
        <f>[132]CC_8_stat_stem_AT_GC_freq_10!B4</f>
        <v>243</v>
      </c>
      <c r="J8" s="30">
        <f>[133]CC_9_stat_stem_AT_GC_freq_10!B4</f>
        <v>8</v>
      </c>
      <c r="K8" s="30">
        <f>[134]CC_10_stat_stem_AT_GC_freq_10!B4</f>
        <v>2</v>
      </c>
      <c r="L8" s="30">
        <f>[135]CC_11_stat_stem_AT_GC_freq_10!B4</f>
        <v>23</v>
      </c>
      <c r="M8" s="30">
        <f>[136]CC_12_stat_stem_AT_GC_freq_10!B4</f>
        <v>38</v>
      </c>
      <c r="N8" s="30">
        <f>[137]CC_13_stat_stem_AT_GC_freq_10!B4</f>
        <v>6</v>
      </c>
      <c r="O8" s="30">
        <f>[138]CC_14_stat_stem_AT_GC_freq_10!B4</f>
        <v>27</v>
      </c>
      <c r="P8" s="30">
        <f>[139]CC_15_stat_stem_AT_GC_freq_10!B4</f>
        <v>28</v>
      </c>
      <c r="Q8" s="30">
        <f>[140]CC_16_stat_stem_AT_GC_freq_10!B4</f>
        <v>2</v>
      </c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15">
      <c r="A9" s="29" t="s">
        <v>54</v>
      </c>
      <c r="B9" s="29">
        <f>[125]CC_1_stat_stem_AT_GC_freq_10!B5</f>
        <v>70</v>
      </c>
      <c r="C9" s="30">
        <f>[126]CC_2_stat_stem_AT_GC_freq_10!B5</f>
        <v>46</v>
      </c>
      <c r="D9" s="30">
        <f>[127]CC_3_stat_stem_AT_GC_freq_10!B5</f>
        <v>132</v>
      </c>
      <c r="E9" s="30">
        <f>[128]CC_4_stat_stem_AT_GC_freq_10!B5</f>
        <v>165</v>
      </c>
      <c r="F9" s="30">
        <f>[129]CC_5_stat_stem_AT_GC_freq_10!B5</f>
        <v>107</v>
      </c>
      <c r="G9" s="30">
        <f>[130]CC_6_stat_stem_AT_GC_freq_10!B5</f>
        <v>14</v>
      </c>
      <c r="H9" s="30">
        <f>[131]CC_7_stat_stem_AT_GC_freq_10!B5</f>
        <v>9</v>
      </c>
      <c r="I9" s="30">
        <f>[132]CC_8_stat_stem_AT_GC_freq_10!B5</f>
        <v>174</v>
      </c>
      <c r="J9" s="30">
        <f>[133]CC_9_stat_stem_AT_GC_freq_10!B5</f>
        <v>21</v>
      </c>
      <c r="K9" s="30">
        <f>[134]CC_10_stat_stem_AT_GC_freq_10!B5</f>
        <v>3</v>
      </c>
      <c r="L9" s="30">
        <f>[135]CC_11_stat_stem_AT_GC_freq_10!B5</f>
        <v>12</v>
      </c>
      <c r="M9" s="30">
        <f>[136]CC_12_stat_stem_AT_GC_freq_10!B5</f>
        <v>37</v>
      </c>
      <c r="N9" s="30">
        <f>[137]CC_13_stat_stem_AT_GC_freq_10!B5</f>
        <v>7</v>
      </c>
      <c r="O9" s="30">
        <f>[138]CC_14_stat_stem_AT_GC_freq_10!B5</f>
        <v>24</v>
      </c>
      <c r="P9" s="30">
        <f>[139]CC_15_stat_stem_AT_GC_freq_10!B5</f>
        <v>10</v>
      </c>
      <c r="Q9" s="30">
        <f>[140]CC_16_stat_stem_AT_GC_freq_10!B5</f>
        <v>5</v>
      </c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15">
      <c r="A10" s="29" t="s">
        <v>55</v>
      </c>
      <c r="B10" s="29">
        <f>[125]CC_1_stat_stem_AT_GC_freq_10!B6</f>
        <v>84</v>
      </c>
      <c r="C10" s="30">
        <f>[126]CC_2_stat_stem_AT_GC_freq_10!B6</f>
        <v>45</v>
      </c>
      <c r="D10" s="30">
        <f>[127]CC_3_stat_stem_AT_GC_freq_10!B6</f>
        <v>123</v>
      </c>
      <c r="E10" s="30">
        <f>[128]CC_4_stat_stem_AT_GC_freq_10!B6</f>
        <v>152</v>
      </c>
      <c r="F10" s="30">
        <f>[129]CC_5_stat_stem_AT_GC_freq_10!B6</f>
        <v>88</v>
      </c>
      <c r="G10" s="30">
        <f>[130]CC_6_stat_stem_AT_GC_freq_10!B6</f>
        <v>14</v>
      </c>
      <c r="H10" s="30">
        <f>[131]CC_7_stat_stem_AT_GC_freq_10!B6</f>
        <v>12</v>
      </c>
      <c r="I10" s="30">
        <f>[132]CC_8_stat_stem_AT_GC_freq_10!B6</f>
        <v>184</v>
      </c>
      <c r="J10" s="30">
        <f>[133]CC_9_stat_stem_AT_GC_freq_10!B6</f>
        <v>14</v>
      </c>
      <c r="K10" s="30">
        <f>[134]CC_10_stat_stem_AT_GC_freq_10!B6</f>
        <v>6</v>
      </c>
      <c r="L10" s="30">
        <f>[135]CC_11_stat_stem_AT_GC_freq_10!B6</f>
        <v>8</v>
      </c>
      <c r="M10" s="30">
        <f>[136]CC_12_stat_stem_AT_GC_freq_10!B6</f>
        <v>17</v>
      </c>
      <c r="N10" s="30">
        <f>[137]CC_13_stat_stem_AT_GC_freq_10!B6</f>
        <v>5</v>
      </c>
      <c r="O10" s="30">
        <f>[138]CC_14_stat_stem_AT_GC_freq_10!B6</f>
        <v>22</v>
      </c>
      <c r="P10" s="30">
        <f>[139]CC_15_stat_stem_AT_GC_freq_10!B6</f>
        <v>27</v>
      </c>
      <c r="Q10" s="30">
        <f>[140]CC_16_stat_stem_AT_GC_freq_10!B6</f>
        <v>1</v>
      </c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15">
      <c r="A11" s="29" t="s">
        <v>56</v>
      </c>
      <c r="B11" s="29">
        <f>[125]CC_1_stat_stem_AT_GC_freq_10!B7</f>
        <v>66</v>
      </c>
      <c r="C11" s="30">
        <f>[126]CC_2_stat_stem_AT_GC_freq_10!B7</f>
        <v>38</v>
      </c>
      <c r="D11" s="30">
        <f>[127]CC_3_stat_stem_AT_GC_freq_10!B7</f>
        <v>107</v>
      </c>
      <c r="E11" s="30">
        <f>[128]CC_4_stat_stem_AT_GC_freq_10!B7</f>
        <v>142</v>
      </c>
      <c r="F11" s="30">
        <f>[129]CC_5_stat_stem_AT_GC_freq_10!B7</f>
        <v>82</v>
      </c>
      <c r="G11" s="30">
        <f>[130]CC_6_stat_stem_AT_GC_freq_10!B7</f>
        <v>14</v>
      </c>
      <c r="H11" s="30">
        <f>[131]CC_7_stat_stem_AT_GC_freq_10!B7</f>
        <v>9</v>
      </c>
      <c r="I11" s="30">
        <f>[132]CC_8_stat_stem_AT_GC_freq_10!B7</f>
        <v>186</v>
      </c>
      <c r="J11" s="30">
        <f>[133]CC_9_stat_stem_AT_GC_freq_10!B7</f>
        <v>14</v>
      </c>
      <c r="K11" s="30">
        <f>[134]CC_10_stat_stem_AT_GC_freq_10!B7</f>
        <v>3</v>
      </c>
      <c r="L11" s="30">
        <f>[135]CC_11_stat_stem_AT_GC_freq_10!B7</f>
        <v>14</v>
      </c>
      <c r="M11" s="30">
        <f>[136]CC_12_stat_stem_AT_GC_freq_10!B7</f>
        <v>23</v>
      </c>
      <c r="N11" s="30">
        <f>[137]CC_13_stat_stem_AT_GC_freq_10!B7</f>
        <v>6</v>
      </c>
      <c r="O11" s="30">
        <f>[138]CC_14_stat_stem_AT_GC_freq_10!B7</f>
        <v>20</v>
      </c>
      <c r="P11" s="30">
        <f>[139]CC_15_stat_stem_AT_GC_freq_10!B7</f>
        <v>22</v>
      </c>
      <c r="Q11" s="30">
        <f>[140]CC_16_stat_stem_AT_GC_freq_10!B7</f>
        <v>2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15">
      <c r="A12" s="29" t="s">
        <v>57</v>
      </c>
      <c r="B12" s="29">
        <f>[125]CC_1_stat_stem_AT_GC_freq_10!B8</f>
        <v>69</v>
      </c>
      <c r="C12" s="30">
        <f>[126]CC_2_stat_stem_AT_GC_freq_10!B8</f>
        <v>37</v>
      </c>
      <c r="D12" s="30">
        <f>[127]CC_3_stat_stem_AT_GC_freq_10!B8</f>
        <v>118</v>
      </c>
      <c r="E12" s="30">
        <f>[128]CC_4_stat_stem_AT_GC_freq_10!B8</f>
        <v>134</v>
      </c>
      <c r="F12" s="30">
        <f>[129]CC_5_stat_stem_AT_GC_freq_10!B8</f>
        <v>76</v>
      </c>
      <c r="G12" s="30">
        <f>[130]CC_6_stat_stem_AT_GC_freq_10!B8</f>
        <v>10</v>
      </c>
      <c r="H12" s="30">
        <f>[131]CC_7_stat_stem_AT_GC_freq_10!B8</f>
        <v>9</v>
      </c>
      <c r="I12" s="30">
        <f>[132]CC_8_stat_stem_AT_GC_freq_10!B8</f>
        <v>136</v>
      </c>
      <c r="J12" s="30">
        <f>[133]CC_9_stat_stem_AT_GC_freq_10!B8</f>
        <v>12</v>
      </c>
      <c r="K12" s="30">
        <f>[134]CC_10_stat_stem_AT_GC_freq_10!B8</f>
        <v>5</v>
      </c>
      <c r="L12" s="30">
        <f>[135]CC_11_stat_stem_AT_GC_freq_10!B8</f>
        <v>11</v>
      </c>
      <c r="M12" s="30">
        <f>[136]CC_12_stat_stem_AT_GC_freq_10!B8</f>
        <v>22</v>
      </c>
      <c r="N12" s="30">
        <f>[137]CC_13_stat_stem_AT_GC_freq_10!B8</f>
        <v>4</v>
      </c>
      <c r="O12" s="30">
        <f>[138]CC_14_stat_stem_AT_GC_freq_10!B8</f>
        <v>19</v>
      </c>
      <c r="P12" s="30">
        <f>[139]CC_15_stat_stem_AT_GC_freq_10!B8</f>
        <v>14</v>
      </c>
      <c r="Q12" s="30">
        <f>[140]CC_16_stat_stem_AT_GC_freq_10!B8</f>
        <v>6</v>
      </c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15">
      <c r="A13" s="29" t="s">
        <v>58</v>
      </c>
      <c r="B13" s="29">
        <f>[125]CC_1_stat_stem_AT_GC_freq_10!B9</f>
        <v>73</v>
      </c>
      <c r="C13" s="30">
        <f>[126]CC_2_stat_stem_AT_GC_freq_10!B9</f>
        <v>38</v>
      </c>
      <c r="D13" s="30">
        <f>[127]CC_3_stat_stem_AT_GC_freq_10!B9</f>
        <v>114</v>
      </c>
      <c r="E13" s="30">
        <f>[128]CC_4_stat_stem_AT_GC_freq_10!B9</f>
        <v>149</v>
      </c>
      <c r="F13" s="30">
        <f>[129]CC_5_stat_stem_AT_GC_freq_10!B9</f>
        <v>79</v>
      </c>
      <c r="G13" s="30">
        <f>[130]CC_6_stat_stem_AT_GC_freq_10!B9</f>
        <v>10</v>
      </c>
      <c r="H13" s="30">
        <f>[131]CC_7_stat_stem_AT_GC_freq_10!B9</f>
        <v>15</v>
      </c>
      <c r="I13" s="30">
        <f>[132]CC_8_stat_stem_AT_GC_freq_10!B9</f>
        <v>155</v>
      </c>
      <c r="J13" s="30">
        <f>[133]CC_9_stat_stem_AT_GC_freq_10!B9</f>
        <v>8</v>
      </c>
      <c r="K13" s="30">
        <f>[134]CC_10_stat_stem_AT_GC_freq_10!B9</f>
        <v>1</v>
      </c>
      <c r="L13" s="30">
        <f>[135]CC_11_stat_stem_AT_GC_freq_10!B9</f>
        <v>17</v>
      </c>
      <c r="M13" s="30">
        <f>[136]CC_12_stat_stem_AT_GC_freq_10!B9</f>
        <v>14</v>
      </c>
      <c r="N13" s="30">
        <f>[137]CC_13_stat_stem_AT_GC_freq_10!B9</f>
        <v>2</v>
      </c>
      <c r="O13" s="30">
        <f>[138]CC_14_stat_stem_AT_GC_freq_10!B9</f>
        <v>18</v>
      </c>
      <c r="P13" s="30">
        <f>[139]CC_15_stat_stem_AT_GC_freq_10!B9</f>
        <v>17</v>
      </c>
      <c r="Q13" s="30">
        <f>[140]CC_16_stat_stem_AT_GC_freq_10!B9</f>
        <v>3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15">
      <c r="A14" s="29" t="s">
        <v>59</v>
      </c>
      <c r="B14" s="29">
        <f>[125]CC_1_stat_stem_AT_GC_freq_10!B10</f>
        <v>86</v>
      </c>
      <c r="C14" s="30">
        <f>[126]CC_2_stat_stem_AT_GC_freq_10!B10</f>
        <v>49</v>
      </c>
      <c r="D14" s="30">
        <f>[127]CC_3_stat_stem_AT_GC_freq_10!B10</f>
        <v>179</v>
      </c>
      <c r="E14" s="30">
        <f>[128]CC_4_stat_stem_AT_GC_freq_10!B10</f>
        <v>206</v>
      </c>
      <c r="F14" s="30">
        <f>[129]CC_5_stat_stem_AT_GC_freq_10!B10</f>
        <v>112</v>
      </c>
      <c r="G14" s="30">
        <f>[130]CC_6_stat_stem_AT_GC_freq_10!B10</f>
        <v>11</v>
      </c>
      <c r="H14" s="30">
        <f>[131]CC_7_stat_stem_AT_GC_freq_10!B10</f>
        <v>13</v>
      </c>
      <c r="I14" s="30">
        <f>[132]CC_8_stat_stem_AT_GC_freq_10!B10</f>
        <v>219</v>
      </c>
      <c r="J14" s="30">
        <f>[133]CC_9_stat_stem_AT_GC_freq_10!B10</f>
        <v>24</v>
      </c>
      <c r="K14" s="30">
        <f>[134]CC_10_stat_stem_AT_GC_freq_10!B10</f>
        <v>6</v>
      </c>
      <c r="L14" s="30">
        <f>[135]CC_11_stat_stem_AT_GC_freq_10!B10</f>
        <v>16</v>
      </c>
      <c r="M14" s="30">
        <f>[136]CC_12_stat_stem_AT_GC_freq_10!B10</f>
        <v>33</v>
      </c>
      <c r="N14" s="30">
        <f>[137]CC_13_stat_stem_AT_GC_freq_10!B10</f>
        <v>4</v>
      </c>
      <c r="O14" s="30">
        <f>[138]CC_14_stat_stem_AT_GC_freq_10!B10</f>
        <v>28</v>
      </c>
      <c r="P14" s="30">
        <f>[139]CC_15_stat_stem_AT_GC_freq_10!B10</f>
        <v>19</v>
      </c>
      <c r="Q14" s="30">
        <f>[140]CC_16_stat_stem_AT_GC_freq_10!B10</f>
        <v>9</v>
      </c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15">
      <c r="A15" s="29" t="s">
        <v>60</v>
      </c>
      <c r="B15" s="29">
        <f>[125]CC_1_stat_stem_AT_GC_freq_10!B11</f>
        <v>234</v>
      </c>
      <c r="C15" s="30">
        <f>[126]CC_2_stat_stem_AT_GC_freq_10!B11</f>
        <v>151</v>
      </c>
      <c r="D15" s="30">
        <f>[127]CC_3_stat_stem_AT_GC_freq_10!B11</f>
        <v>481</v>
      </c>
      <c r="E15" s="30">
        <f>[128]CC_4_stat_stem_AT_GC_freq_10!B11</f>
        <v>557</v>
      </c>
      <c r="F15" s="30">
        <f>[129]CC_5_stat_stem_AT_GC_freq_10!B11</f>
        <v>363</v>
      </c>
      <c r="G15" s="30">
        <f>[130]CC_6_stat_stem_AT_GC_freq_10!B11</f>
        <v>37</v>
      </c>
      <c r="H15" s="30">
        <f>[131]CC_7_stat_stem_AT_GC_freq_10!B11</f>
        <v>34</v>
      </c>
      <c r="I15" s="30">
        <f>[132]CC_8_stat_stem_AT_GC_freq_10!B11</f>
        <v>653</v>
      </c>
      <c r="J15" s="30">
        <f>[133]CC_9_stat_stem_AT_GC_freq_10!B11</f>
        <v>71</v>
      </c>
      <c r="K15" s="30">
        <f>[134]CC_10_stat_stem_AT_GC_freq_10!B11</f>
        <v>25</v>
      </c>
      <c r="L15" s="30">
        <f>[135]CC_11_stat_stem_AT_GC_freq_10!B11</f>
        <v>50</v>
      </c>
      <c r="M15" s="30">
        <f>[136]CC_12_stat_stem_AT_GC_freq_10!B11</f>
        <v>76</v>
      </c>
      <c r="N15" s="30">
        <f>[137]CC_13_stat_stem_AT_GC_freq_10!B11</f>
        <v>10</v>
      </c>
      <c r="O15" s="30">
        <f>[138]CC_14_stat_stem_AT_GC_freq_10!B11</f>
        <v>76</v>
      </c>
      <c r="P15" s="30">
        <f>[139]CC_15_stat_stem_AT_GC_freq_10!B11</f>
        <v>72</v>
      </c>
      <c r="Q15" s="30">
        <f>[140]CC_16_stat_stem_AT_GC_freq_10!B11</f>
        <v>31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15">
      <c r="A16" s="29" t="s">
        <v>61</v>
      </c>
      <c r="B16" s="29">
        <f t="shared" ref="B16:Q16" si="0">SUM(B6:B15)</f>
        <v>1934</v>
      </c>
      <c r="C16" s="30">
        <f t="shared" si="0"/>
        <v>1146</v>
      </c>
      <c r="D16" s="30">
        <f t="shared" si="0"/>
        <v>3371</v>
      </c>
      <c r="E16" s="30">
        <f t="shared" si="0"/>
        <v>4009</v>
      </c>
      <c r="F16" s="30">
        <f t="shared" si="0"/>
        <v>2387</v>
      </c>
      <c r="G16" s="30">
        <f t="shared" si="0"/>
        <v>288</v>
      </c>
      <c r="H16" s="30">
        <f t="shared" si="0"/>
        <v>271</v>
      </c>
      <c r="I16" s="30">
        <f t="shared" si="0"/>
        <v>4539</v>
      </c>
      <c r="J16" s="30">
        <f t="shared" si="0"/>
        <v>395</v>
      </c>
      <c r="K16" s="30">
        <f t="shared" si="0"/>
        <v>146</v>
      </c>
      <c r="L16" s="30">
        <f t="shared" si="0"/>
        <v>363</v>
      </c>
      <c r="M16" s="30">
        <f t="shared" si="0"/>
        <v>642</v>
      </c>
      <c r="N16" s="30">
        <f t="shared" si="0"/>
        <v>119</v>
      </c>
      <c r="O16" s="30">
        <f t="shared" si="0"/>
        <v>594</v>
      </c>
      <c r="P16" s="30">
        <f t="shared" si="0"/>
        <v>464</v>
      </c>
      <c r="Q16" s="30">
        <f t="shared" si="0"/>
        <v>147</v>
      </c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15">
      <c r="A17" s="29"/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15">
      <c r="A18" s="29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28" x14ac:dyDescent="0.15">
      <c r="A19" s="29" t="s">
        <v>23</v>
      </c>
      <c r="B19" s="30" t="s">
        <v>24</v>
      </c>
      <c r="C19" s="30" t="s">
        <v>24</v>
      </c>
      <c r="D19" s="30" t="s">
        <v>24</v>
      </c>
      <c r="E19" s="30" t="s">
        <v>24</v>
      </c>
      <c r="F19" s="30" t="s">
        <v>24</v>
      </c>
      <c r="G19" s="30" t="s">
        <v>24</v>
      </c>
      <c r="H19" s="30" t="s">
        <v>24</v>
      </c>
      <c r="I19" s="30" t="s">
        <v>24</v>
      </c>
      <c r="J19" s="30" t="s">
        <v>24</v>
      </c>
      <c r="K19" s="30" t="s">
        <v>24</v>
      </c>
      <c r="L19" s="30" t="s">
        <v>24</v>
      </c>
      <c r="M19" s="30" t="s">
        <v>24</v>
      </c>
      <c r="N19" s="30" t="s">
        <v>24</v>
      </c>
      <c r="O19" s="30" t="s">
        <v>24</v>
      </c>
      <c r="P19" s="30" t="s">
        <v>24</v>
      </c>
      <c r="Q19" s="30" t="s">
        <v>24</v>
      </c>
    </row>
    <row r="20" spans="1:28" x14ac:dyDescent="0.15">
      <c r="A20" s="29" t="s">
        <v>52</v>
      </c>
      <c r="B20" s="29">
        <f t="shared" ref="B20:B29" si="1">B6/B$16</f>
        <v>0.51189245087900725</v>
      </c>
      <c r="C20" s="30">
        <f t="shared" ref="C20:H20" si="2">C6/C$16</f>
        <v>0.51745200698080285</v>
      </c>
      <c r="D20" s="30">
        <f t="shared" si="2"/>
        <v>0.49302877484425989</v>
      </c>
      <c r="E20" s="30">
        <f t="shared" si="2"/>
        <v>0.48665502619107009</v>
      </c>
      <c r="F20" s="30">
        <f t="shared" si="2"/>
        <v>0.49057394218684541</v>
      </c>
      <c r="G20" s="30">
        <f t="shared" si="2"/>
        <v>0.48958333333333331</v>
      </c>
      <c r="H20" s="30">
        <f t="shared" si="2"/>
        <v>0.51291512915129156</v>
      </c>
      <c r="I20" s="30">
        <f t="shared" ref="I20:Q20" si="3">I6/I$16</f>
        <v>0.49063670411985016</v>
      </c>
      <c r="J20" s="30">
        <f t="shared" si="3"/>
        <v>0.45822784810126582</v>
      </c>
      <c r="K20" s="30">
        <f t="shared" si="3"/>
        <v>0.53424657534246578</v>
      </c>
      <c r="L20" s="30">
        <f t="shared" si="3"/>
        <v>0.48209366391184572</v>
      </c>
      <c r="M20" s="30">
        <f t="shared" si="3"/>
        <v>0.49221183800623053</v>
      </c>
      <c r="N20" s="30">
        <f t="shared" si="3"/>
        <v>0.52941176470588236</v>
      </c>
      <c r="O20" s="30">
        <f t="shared" si="3"/>
        <v>0.50841750841750843</v>
      </c>
      <c r="P20" s="30">
        <f t="shared" si="3"/>
        <v>0.49137931034482757</v>
      </c>
      <c r="Q20" s="30">
        <f t="shared" si="3"/>
        <v>0.50340136054421769</v>
      </c>
    </row>
    <row r="21" spans="1:28" x14ac:dyDescent="0.15">
      <c r="A21" s="29" t="s">
        <v>38</v>
      </c>
      <c r="B21" s="29">
        <f t="shared" si="1"/>
        <v>8.1178903826266802E-2</v>
      </c>
      <c r="C21" s="30">
        <f t="shared" ref="C21:H21" si="4">C7/C$16</f>
        <v>8.6387434554973816E-2</v>
      </c>
      <c r="D21" s="30">
        <f t="shared" si="4"/>
        <v>8.5137941263719971E-2</v>
      </c>
      <c r="E21" s="30">
        <f t="shared" si="4"/>
        <v>8.7054128211524071E-2</v>
      </c>
      <c r="F21" s="30">
        <f t="shared" si="4"/>
        <v>8.3787180561374117E-2</v>
      </c>
      <c r="G21" s="30">
        <f t="shared" si="4"/>
        <v>6.25E-2</v>
      </c>
      <c r="H21" s="30">
        <f t="shared" si="4"/>
        <v>7.7490774907749083E-2</v>
      </c>
      <c r="I21" s="30">
        <f t="shared" ref="I21:Q21" si="5">I7/I$16</f>
        <v>7.9753249614452529E-2</v>
      </c>
      <c r="J21" s="30">
        <f t="shared" si="5"/>
        <v>0.10632911392405063</v>
      </c>
      <c r="K21" s="30">
        <f t="shared" si="5"/>
        <v>0.11643835616438356</v>
      </c>
      <c r="L21" s="30">
        <f t="shared" si="5"/>
        <v>0.10192837465564739</v>
      </c>
      <c r="M21" s="30">
        <f t="shared" si="5"/>
        <v>0.10280373831775701</v>
      </c>
      <c r="N21" s="30">
        <f t="shared" si="5"/>
        <v>0.10084033613445378</v>
      </c>
      <c r="O21" s="30">
        <f t="shared" si="5"/>
        <v>9.7643097643097643E-2</v>
      </c>
      <c r="P21" s="30">
        <f t="shared" si="5"/>
        <v>5.8189655172413791E-2</v>
      </c>
      <c r="Q21" s="30">
        <f t="shared" si="5"/>
        <v>9.5238095238095233E-2</v>
      </c>
    </row>
    <row r="22" spans="1:28" x14ac:dyDescent="0.15">
      <c r="A22" s="29" t="s">
        <v>53</v>
      </c>
      <c r="B22" s="29">
        <f t="shared" si="1"/>
        <v>5.4291623578076528E-2</v>
      </c>
      <c r="C22" s="30">
        <f t="shared" ref="C22:H22" si="6">C8/C$16</f>
        <v>4.3630017452006981E-2</v>
      </c>
      <c r="D22" s="30">
        <f t="shared" si="6"/>
        <v>4.9836843666567786E-2</v>
      </c>
      <c r="E22" s="30">
        <f t="shared" si="6"/>
        <v>5.0885507607882262E-2</v>
      </c>
      <c r="F22" s="30">
        <f t="shared" si="6"/>
        <v>4.5664013405948889E-2</v>
      </c>
      <c r="G22" s="30">
        <f t="shared" si="6"/>
        <v>6.5972222222222224E-2</v>
      </c>
      <c r="H22" s="30">
        <f t="shared" si="6"/>
        <v>3.6900369003690037E-2</v>
      </c>
      <c r="I22" s="30">
        <f t="shared" ref="I22:Q22" si="7">I8/I$16</f>
        <v>5.3536021150033045E-2</v>
      </c>
      <c r="J22" s="30">
        <f t="shared" si="7"/>
        <v>2.0253164556962026E-2</v>
      </c>
      <c r="K22" s="30">
        <f t="shared" si="7"/>
        <v>1.3698630136986301E-2</v>
      </c>
      <c r="L22" s="30">
        <f t="shared" si="7"/>
        <v>6.3360881542699726E-2</v>
      </c>
      <c r="M22" s="30">
        <f t="shared" si="7"/>
        <v>5.9190031152647975E-2</v>
      </c>
      <c r="N22" s="30">
        <f t="shared" si="7"/>
        <v>5.0420168067226892E-2</v>
      </c>
      <c r="O22" s="30">
        <f t="shared" si="7"/>
        <v>4.5454545454545456E-2</v>
      </c>
      <c r="P22" s="30">
        <f t="shared" si="7"/>
        <v>6.0344827586206899E-2</v>
      </c>
      <c r="Q22" s="30">
        <f t="shared" si="7"/>
        <v>1.3605442176870748E-2</v>
      </c>
    </row>
    <row r="23" spans="1:28" x14ac:dyDescent="0.15">
      <c r="A23" s="29" t="s">
        <v>54</v>
      </c>
      <c r="B23" s="29">
        <f t="shared" si="1"/>
        <v>3.6194415718717683E-2</v>
      </c>
      <c r="C23" s="30">
        <f t="shared" ref="C23:H23" si="8">C9/C$16</f>
        <v>4.0139616055846421E-2</v>
      </c>
      <c r="D23" s="30">
        <f t="shared" si="8"/>
        <v>3.915752002373183E-2</v>
      </c>
      <c r="E23" s="30">
        <f t="shared" si="8"/>
        <v>4.1157395859316541E-2</v>
      </c>
      <c r="F23" s="30">
        <f t="shared" si="8"/>
        <v>4.482614160033515E-2</v>
      </c>
      <c r="G23" s="30">
        <f t="shared" si="8"/>
        <v>4.8611111111111112E-2</v>
      </c>
      <c r="H23" s="30">
        <f t="shared" si="8"/>
        <v>3.3210332103321034E-2</v>
      </c>
      <c r="I23" s="30">
        <f t="shared" ref="I23:Q23" si="9">I9/I$16</f>
        <v>3.8334434897554524E-2</v>
      </c>
      <c r="J23" s="30">
        <f t="shared" si="9"/>
        <v>5.3164556962025315E-2</v>
      </c>
      <c r="K23" s="30">
        <f t="shared" si="9"/>
        <v>2.0547945205479451E-2</v>
      </c>
      <c r="L23" s="30">
        <f t="shared" si="9"/>
        <v>3.3057851239669422E-2</v>
      </c>
      <c r="M23" s="30">
        <f t="shared" si="9"/>
        <v>5.763239875389408E-2</v>
      </c>
      <c r="N23" s="30">
        <f t="shared" si="9"/>
        <v>5.8823529411764705E-2</v>
      </c>
      <c r="O23" s="30">
        <f t="shared" si="9"/>
        <v>4.0404040404040407E-2</v>
      </c>
      <c r="P23" s="30">
        <f t="shared" si="9"/>
        <v>2.1551724137931036E-2</v>
      </c>
      <c r="Q23" s="30">
        <f t="shared" si="9"/>
        <v>3.4013605442176874E-2</v>
      </c>
    </row>
    <row r="24" spans="1:28" x14ac:dyDescent="0.15">
      <c r="A24" s="29" t="s">
        <v>55</v>
      </c>
      <c r="B24" s="29">
        <f t="shared" si="1"/>
        <v>4.3433298862461223E-2</v>
      </c>
      <c r="C24" s="30">
        <f t="shared" ref="C24:H24" si="10">C10/C$16</f>
        <v>3.9267015706806283E-2</v>
      </c>
      <c r="D24" s="30">
        <f t="shared" si="10"/>
        <v>3.6487689113022845E-2</v>
      </c>
      <c r="E24" s="30">
        <f t="shared" si="10"/>
        <v>3.7914691943127965E-2</v>
      </c>
      <c r="F24" s="30">
        <f t="shared" si="10"/>
        <v>3.6866359447004608E-2</v>
      </c>
      <c r="G24" s="30">
        <f t="shared" si="10"/>
        <v>4.8611111111111112E-2</v>
      </c>
      <c r="H24" s="30">
        <f t="shared" si="10"/>
        <v>4.4280442804428041E-2</v>
      </c>
      <c r="I24" s="30">
        <f t="shared" ref="I24:Q24" si="11">I10/I$16</f>
        <v>4.0537563339942718E-2</v>
      </c>
      <c r="J24" s="30">
        <f t="shared" si="11"/>
        <v>3.5443037974683546E-2</v>
      </c>
      <c r="K24" s="30">
        <f t="shared" si="11"/>
        <v>4.1095890410958902E-2</v>
      </c>
      <c r="L24" s="30">
        <f t="shared" si="11"/>
        <v>2.2038567493112948E-2</v>
      </c>
      <c r="M24" s="30">
        <f t="shared" si="11"/>
        <v>2.6479750778816199E-2</v>
      </c>
      <c r="N24" s="30">
        <f t="shared" si="11"/>
        <v>4.2016806722689079E-2</v>
      </c>
      <c r="O24" s="30">
        <f t="shared" si="11"/>
        <v>3.7037037037037035E-2</v>
      </c>
      <c r="P24" s="30">
        <f t="shared" si="11"/>
        <v>5.8189655172413791E-2</v>
      </c>
      <c r="Q24" s="30">
        <f t="shared" si="11"/>
        <v>6.8027210884353739E-3</v>
      </c>
    </row>
    <row r="25" spans="1:28" x14ac:dyDescent="0.15">
      <c r="A25" s="29" t="s">
        <v>56</v>
      </c>
      <c r="B25" s="29">
        <f t="shared" si="1"/>
        <v>3.4126163391933813E-2</v>
      </c>
      <c r="C25" s="30">
        <f t="shared" ref="C25:H25" si="12">C11/C$16</f>
        <v>3.3158813263525308E-2</v>
      </c>
      <c r="D25" s="30">
        <f t="shared" si="12"/>
        <v>3.1741323049540193E-2</v>
      </c>
      <c r="E25" s="30">
        <f t="shared" si="12"/>
        <v>3.5420304315290599E-2</v>
      </c>
      <c r="F25" s="30">
        <f t="shared" si="12"/>
        <v>3.4352744030163383E-2</v>
      </c>
      <c r="G25" s="30">
        <f t="shared" si="12"/>
        <v>4.8611111111111112E-2</v>
      </c>
      <c r="H25" s="30">
        <f t="shared" si="12"/>
        <v>3.3210332103321034E-2</v>
      </c>
      <c r="I25" s="30">
        <f t="shared" ref="I25:Q25" si="13">I11/I$16</f>
        <v>4.0978189028420355E-2</v>
      </c>
      <c r="J25" s="30">
        <f t="shared" si="13"/>
        <v>3.5443037974683546E-2</v>
      </c>
      <c r="K25" s="30">
        <f t="shared" si="13"/>
        <v>2.0547945205479451E-2</v>
      </c>
      <c r="L25" s="30">
        <f t="shared" si="13"/>
        <v>3.8567493112947659E-2</v>
      </c>
      <c r="M25" s="30">
        <f t="shared" si="13"/>
        <v>3.5825545171339561E-2</v>
      </c>
      <c r="N25" s="30">
        <f t="shared" si="13"/>
        <v>5.0420168067226892E-2</v>
      </c>
      <c r="O25" s="30">
        <f t="shared" si="13"/>
        <v>3.3670033670033669E-2</v>
      </c>
      <c r="P25" s="30">
        <f t="shared" si="13"/>
        <v>4.7413793103448273E-2</v>
      </c>
      <c r="Q25" s="30">
        <f t="shared" si="13"/>
        <v>1.3605442176870748E-2</v>
      </c>
    </row>
    <row r="26" spans="1:28" x14ac:dyDescent="0.15">
      <c r="A26" s="29" t="s">
        <v>57</v>
      </c>
      <c r="B26" s="29">
        <f t="shared" si="1"/>
        <v>3.5677352637021716E-2</v>
      </c>
      <c r="C26" s="30">
        <f t="shared" ref="C26:H26" si="14">C12/C$16</f>
        <v>3.2286212914485163E-2</v>
      </c>
      <c r="D26" s="30">
        <f t="shared" si="14"/>
        <v>3.5004449718184512E-2</v>
      </c>
      <c r="E26" s="30">
        <f t="shared" si="14"/>
        <v>3.3424794213020706E-2</v>
      </c>
      <c r="F26" s="30">
        <f t="shared" si="14"/>
        <v>3.1839128613322165E-2</v>
      </c>
      <c r="G26" s="30">
        <f t="shared" si="14"/>
        <v>3.4722222222222224E-2</v>
      </c>
      <c r="H26" s="30">
        <f t="shared" si="14"/>
        <v>3.3210332103321034E-2</v>
      </c>
      <c r="I26" s="30">
        <f t="shared" ref="I26:Q26" si="15">I12/I$16</f>
        <v>2.9962546816479401E-2</v>
      </c>
      <c r="J26" s="30">
        <f t="shared" si="15"/>
        <v>3.0379746835443037E-2</v>
      </c>
      <c r="K26" s="30">
        <f t="shared" si="15"/>
        <v>3.4246575342465752E-2</v>
      </c>
      <c r="L26" s="30">
        <f t="shared" si="15"/>
        <v>3.0303030303030304E-2</v>
      </c>
      <c r="M26" s="30">
        <f t="shared" si="15"/>
        <v>3.4267912772585667E-2</v>
      </c>
      <c r="N26" s="30">
        <f t="shared" si="15"/>
        <v>3.3613445378151259E-2</v>
      </c>
      <c r="O26" s="30">
        <f t="shared" si="15"/>
        <v>3.1986531986531987E-2</v>
      </c>
      <c r="P26" s="30">
        <f t="shared" si="15"/>
        <v>3.017241379310345E-2</v>
      </c>
      <c r="Q26" s="30">
        <f t="shared" si="15"/>
        <v>4.0816326530612242E-2</v>
      </c>
    </row>
    <row r="27" spans="1:28" x14ac:dyDescent="0.15">
      <c r="A27" s="29" t="s">
        <v>58</v>
      </c>
      <c r="B27" s="29">
        <f t="shared" si="1"/>
        <v>3.7745604963805586E-2</v>
      </c>
      <c r="C27" s="30">
        <f t="shared" ref="C27:H27" si="16">C13/C$16</f>
        <v>3.3158813263525308E-2</v>
      </c>
      <c r="D27" s="30">
        <f t="shared" si="16"/>
        <v>3.3817858202313852E-2</v>
      </c>
      <c r="E27" s="30">
        <f t="shared" si="16"/>
        <v>3.7166375654776755E-2</v>
      </c>
      <c r="F27" s="30">
        <f t="shared" si="16"/>
        <v>3.3095936321742771E-2</v>
      </c>
      <c r="G27" s="30">
        <f t="shared" si="16"/>
        <v>3.4722222222222224E-2</v>
      </c>
      <c r="H27" s="30">
        <f t="shared" si="16"/>
        <v>5.5350553505535055E-2</v>
      </c>
      <c r="I27" s="30">
        <f t="shared" ref="I27:Q27" si="17">I13/I$16</f>
        <v>3.4148490857016961E-2</v>
      </c>
      <c r="J27" s="30">
        <f t="shared" si="17"/>
        <v>2.0253164556962026E-2</v>
      </c>
      <c r="K27" s="30">
        <f t="shared" si="17"/>
        <v>6.8493150684931503E-3</v>
      </c>
      <c r="L27" s="30">
        <f t="shared" si="17"/>
        <v>4.6831955922865015E-2</v>
      </c>
      <c r="M27" s="30">
        <f t="shared" si="17"/>
        <v>2.1806853582554516E-2</v>
      </c>
      <c r="N27" s="30">
        <f t="shared" si="17"/>
        <v>1.680672268907563E-2</v>
      </c>
      <c r="O27" s="30">
        <f t="shared" si="17"/>
        <v>3.0303030303030304E-2</v>
      </c>
      <c r="P27" s="30">
        <f t="shared" si="17"/>
        <v>3.6637931034482756E-2</v>
      </c>
      <c r="Q27" s="30">
        <f t="shared" si="17"/>
        <v>2.0408163265306121E-2</v>
      </c>
    </row>
    <row r="28" spans="1:28" x14ac:dyDescent="0.15">
      <c r="A28" s="29" t="s">
        <v>59</v>
      </c>
      <c r="B28" s="29">
        <f t="shared" si="1"/>
        <v>4.4467425025853151E-2</v>
      </c>
      <c r="C28" s="30">
        <f t="shared" ref="C28:H28" si="18">C14/C$16</f>
        <v>4.2757417102966842E-2</v>
      </c>
      <c r="D28" s="30">
        <f t="shared" si="18"/>
        <v>5.3099970335212104E-2</v>
      </c>
      <c r="E28" s="30">
        <f t="shared" si="18"/>
        <v>5.1384385133449735E-2</v>
      </c>
      <c r="F28" s="30">
        <f t="shared" si="18"/>
        <v>4.6920821114369501E-2</v>
      </c>
      <c r="G28" s="30">
        <f t="shared" si="18"/>
        <v>3.8194444444444448E-2</v>
      </c>
      <c r="H28" s="30">
        <f t="shared" si="18"/>
        <v>4.797047970479705E-2</v>
      </c>
      <c r="I28" s="30">
        <f t="shared" ref="I28:Q28" si="19">I14/I$16</f>
        <v>4.8248512888301391E-2</v>
      </c>
      <c r="J28" s="30">
        <f t="shared" si="19"/>
        <v>6.0759493670886074E-2</v>
      </c>
      <c r="K28" s="30">
        <f t="shared" si="19"/>
        <v>4.1095890410958902E-2</v>
      </c>
      <c r="L28" s="30">
        <f t="shared" si="19"/>
        <v>4.4077134986225897E-2</v>
      </c>
      <c r="M28" s="30">
        <f t="shared" si="19"/>
        <v>5.1401869158878503E-2</v>
      </c>
      <c r="N28" s="30">
        <f t="shared" si="19"/>
        <v>3.3613445378151259E-2</v>
      </c>
      <c r="O28" s="30">
        <f t="shared" si="19"/>
        <v>4.7138047138047139E-2</v>
      </c>
      <c r="P28" s="30">
        <f t="shared" si="19"/>
        <v>4.0948275862068964E-2</v>
      </c>
      <c r="Q28" s="30">
        <f t="shared" si="19"/>
        <v>6.1224489795918366E-2</v>
      </c>
    </row>
    <row r="29" spans="1:28" x14ac:dyDescent="0.15">
      <c r="A29" s="29" t="s">
        <v>60</v>
      </c>
      <c r="B29" s="29">
        <f t="shared" si="1"/>
        <v>0.12099276111685625</v>
      </c>
      <c r="C29" s="30">
        <f t="shared" ref="C29:H29" si="20">C15/C$16</f>
        <v>0.13176265270506107</v>
      </c>
      <c r="D29" s="30">
        <f t="shared" si="20"/>
        <v>0.14268762978344704</v>
      </c>
      <c r="E29" s="30">
        <f t="shared" si="20"/>
        <v>0.13893739087054127</v>
      </c>
      <c r="F29" s="30">
        <f t="shared" si="20"/>
        <v>0.15207373271889402</v>
      </c>
      <c r="G29" s="30">
        <f t="shared" si="20"/>
        <v>0.12847222222222221</v>
      </c>
      <c r="H29" s="30">
        <f t="shared" si="20"/>
        <v>0.12546125461254612</v>
      </c>
      <c r="I29" s="30">
        <f t="shared" ref="I29:Q29" si="21">I15/I$16</f>
        <v>0.14386428728794889</v>
      </c>
      <c r="J29" s="30">
        <f t="shared" si="21"/>
        <v>0.17974683544303796</v>
      </c>
      <c r="K29" s="30">
        <f t="shared" si="21"/>
        <v>0.17123287671232876</v>
      </c>
      <c r="L29" s="30">
        <f t="shared" si="21"/>
        <v>0.13774104683195593</v>
      </c>
      <c r="M29" s="30">
        <f t="shared" si="21"/>
        <v>0.11838006230529595</v>
      </c>
      <c r="N29" s="30">
        <f t="shared" si="21"/>
        <v>8.4033613445378158E-2</v>
      </c>
      <c r="O29" s="30">
        <f t="shared" si="21"/>
        <v>0.12794612794612795</v>
      </c>
      <c r="P29" s="30">
        <f t="shared" si="21"/>
        <v>0.15517241379310345</v>
      </c>
      <c r="Q29" s="30">
        <f t="shared" si="21"/>
        <v>0.21088435374149661</v>
      </c>
    </row>
    <row r="30" spans="1:28" x14ac:dyDescent="0.15">
      <c r="A30" s="29" t="s">
        <v>78</v>
      </c>
      <c r="B30" s="29">
        <f>43/25</f>
        <v>1.72</v>
      </c>
      <c r="C30" s="30">
        <f>81/50</f>
        <v>1.62</v>
      </c>
      <c r="D30" s="30">
        <f>283/100</f>
        <v>2.83</v>
      </c>
      <c r="E30" s="30">
        <f>31/10</f>
        <v>3.1</v>
      </c>
      <c r="F30" s="30">
        <f>337/100</f>
        <v>3.37</v>
      </c>
      <c r="G30" s="30">
        <f>127/50</f>
        <v>2.54</v>
      </c>
      <c r="H30" s="30">
        <f>19/10</f>
        <v>1.9</v>
      </c>
      <c r="I30" s="30">
        <f>303/100</f>
        <v>3.03</v>
      </c>
      <c r="J30" s="30">
        <f>511/50</f>
        <v>10.220000000000001</v>
      </c>
      <c r="K30" s="30">
        <f>13/10</f>
        <v>1.3</v>
      </c>
      <c r="L30" s="30">
        <f>76/25</f>
        <v>3.04</v>
      </c>
      <c r="M30" s="30">
        <f>49/25</f>
        <v>1.96</v>
      </c>
      <c r="N30" s="30">
        <f>49/50</f>
        <v>0.98</v>
      </c>
      <c r="O30" s="30">
        <f>187/100</f>
        <v>1.87</v>
      </c>
      <c r="P30" s="30">
        <f>193/50</f>
        <v>3.86</v>
      </c>
      <c r="Q30" s="30">
        <f>257/20</f>
        <v>12.85</v>
      </c>
    </row>
    <row r="35" spans="1:17" x14ac:dyDescent="0.15">
      <c r="B35" s="23" t="s">
        <v>140</v>
      </c>
      <c r="C35" s="23" t="s">
        <v>141</v>
      </c>
      <c r="D35" s="23" t="s">
        <v>142</v>
      </c>
      <c r="E35" s="23" t="s">
        <v>143</v>
      </c>
      <c r="F35" s="23" t="s">
        <v>144</v>
      </c>
      <c r="G35" s="23" t="s">
        <v>145</v>
      </c>
      <c r="H35" s="23" t="s">
        <v>146</v>
      </c>
      <c r="I35" s="23" t="s">
        <v>147</v>
      </c>
      <c r="J35" s="23" t="s">
        <v>148</v>
      </c>
      <c r="K35" s="23" t="s">
        <v>149</v>
      </c>
      <c r="L35" s="23" t="s">
        <v>150</v>
      </c>
      <c r="M35" s="23" t="s">
        <v>151</v>
      </c>
      <c r="N35" s="23" t="s">
        <v>152</v>
      </c>
      <c r="O35" s="23" t="s">
        <v>153</v>
      </c>
      <c r="P35" s="23" t="s">
        <v>154</v>
      </c>
      <c r="Q35" s="23" t="s">
        <v>155</v>
      </c>
    </row>
    <row r="36" spans="1:17" x14ac:dyDescent="0.15">
      <c r="B36" s="23" t="s">
        <v>156</v>
      </c>
      <c r="C36" s="23" t="s">
        <v>157</v>
      </c>
      <c r="D36" s="23" t="s">
        <v>158</v>
      </c>
      <c r="E36" s="23" t="s">
        <v>159</v>
      </c>
      <c r="F36" s="23" t="s">
        <v>160</v>
      </c>
      <c r="G36" s="23" t="s">
        <v>161</v>
      </c>
      <c r="H36" s="23" t="s">
        <v>162</v>
      </c>
      <c r="I36" s="23" t="s">
        <v>163</v>
      </c>
      <c r="J36" s="23" t="s">
        <v>164</v>
      </c>
      <c r="K36" s="23" t="s">
        <v>165</v>
      </c>
      <c r="L36" s="23" t="s">
        <v>166</v>
      </c>
      <c r="M36" s="23" t="s">
        <v>167</v>
      </c>
      <c r="N36" s="23" t="s">
        <v>168</v>
      </c>
      <c r="O36" s="23" t="s">
        <v>169</v>
      </c>
      <c r="P36" s="23" t="s">
        <v>170</v>
      </c>
      <c r="Q36" s="23" t="s">
        <v>171</v>
      </c>
    </row>
    <row r="37" spans="1:17" x14ac:dyDescent="0.15">
      <c r="A37" s="27"/>
      <c r="B37" s="23" t="s">
        <v>172</v>
      </c>
      <c r="C37" s="23" t="s">
        <v>173</v>
      </c>
      <c r="D37" s="23" t="s">
        <v>174</v>
      </c>
      <c r="E37" s="23" t="s">
        <v>238</v>
      </c>
      <c r="F37" s="23" t="s">
        <v>175</v>
      </c>
      <c r="G37" s="23" t="s">
        <v>176</v>
      </c>
      <c r="H37" s="23" t="s">
        <v>177</v>
      </c>
      <c r="I37" s="23" t="s">
        <v>178</v>
      </c>
      <c r="J37" s="23" t="s">
        <v>179</v>
      </c>
      <c r="K37" s="23" t="s">
        <v>180</v>
      </c>
      <c r="L37" s="23" t="s">
        <v>181</v>
      </c>
      <c r="M37" s="23" t="s">
        <v>182</v>
      </c>
      <c r="N37" s="23" t="s">
        <v>183</v>
      </c>
      <c r="O37" s="23" t="s">
        <v>184</v>
      </c>
      <c r="P37" s="23" t="s">
        <v>185</v>
      </c>
      <c r="Q37" s="23" t="s">
        <v>186</v>
      </c>
    </row>
    <row r="38" spans="1:17" x14ac:dyDescent="0.15">
      <c r="A38" s="27" t="s">
        <v>237</v>
      </c>
      <c r="B38" s="23">
        <v>173</v>
      </c>
      <c r="C38" s="23">
        <v>358</v>
      </c>
      <c r="D38" s="23">
        <v>23</v>
      </c>
      <c r="E38" s="23">
        <v>21</v>
      </c>
      <c r="F38" s="23">
        <v>44</v>
      </c>
      <c r="G38" s="23">
        <v>21</v>
      </c>
      <c r="H38" s="23">
        <v>31</v>
      </c>
      <c r="I38" s="23">
        <v>19</v>
      </c>
      <c r="J38" s="23">
        <v>20</v>
      </c>
      <c r="K38" s="23">
        <v>34</v>
      </c>
      <c r="L38" s="23">
        <v>54</v>
      </c>
      <c r="M38" s="23">
        <v>40</v>
      </c>
      <c r="N38" s="23">
        <v>27</v>
      </c>
      <c r="O38" s="23">
        <v>76</v>
      </c>
      <c r="P38" s="23">
        <v>96</v>
      </c>
      <c r="Q38" s="23">
        <v>22</v>
      </c>
    </row>
    <row r="39" spans="1:17" x14ac:dyDescent="0.15">
      <c r="A39" s="30" t="s">
        <v>23</v>
      </c>
      <c r="B39" s="30" t="s">
        <v>24</v>
      </c>
      <c r="C39" s="30" t="s">
        <v>123</v>
      </c>
      <c r="D39" s="30" t="s">
        <v>24</v>
      </c>
      <c r="E39" s="30" t="s">
        <v>24</v>
      </c>
      <c r="F39" s="30" t="s">
        <v>24</v>
      </c>
      <c r="G39" s="30" t="s">
        <v>24</v>
      </c>
      <c r="H39" s="30" t="s">
        <v>24</v>
      </c>
      <c r="I39" s="30" t="s">
        <v>24</v>
      </c>
      <c r="J39" s="30" t="s">
        <v>123</v>
      </c>
      <c r="K39" s="30" t="s">
        <v>24</v>
      </c>
      <c r="L39" s="30" t="s">
        <v>24</v>
      </c>
      <c r="M39" s="30" t="s">
        <v>24</v>
      </c>
      <c r="N39" s="30" t="s">
        <v>24</v>
      </c>
      <c r="O39" s="30" t="s">
        <v>24</v>
      </c>
      <c r="P39" s="30" t="s">
        <v>24</v>
      </c>
      <c r="Q39" s="30" t="s">
        <v>123</v>
      </c>
    </row>
    <row r="40" spans="1:17" x14ac:dyDescent="0.15">
      <c r="A40" s="30" t="s">
        <v>52</v>
      </c>
      <c r="B40" s="30">
        <f>[141]BP_1_stat_stem_AT_GC_freq_10!B2</f>
        <v>412</v>
      </c>
      <c r="C40" s="30">
        <f>[142]BP_2_stat_stem_AT_GC_freq_10!B2</f>
        <v>1042</v>
      </c>
      <c r="D40" s="30">
        <f>[143]BP_3_stat_stem_AT_GC_freq_10!B2</f>
        <v>49</v>
      </c>
      <c r="E40" s="30">
        <f>[144]BP_4_stat_stem_AT_GC_freq_10!B2</f>
        <v>48</v>
      </c>
      <c r="F40" s="30">
        <f>[145]BP_5_stat_stem_AT_GC_freq_10!B2</f>
        <v>64</v>
      </c>
      <c r="G40" s="30">
        <f>[146]BP_6_stat_stem_AT_GC_freq_10!B2</f>
        <v>56</v>
      </c>
      <c r="H40" s="30">
        <f>[147]BP_7_stat_stem_AT_GC_freq_10!B2</f>
        <v>133</v>
      </c>
      <c r="I40" s="30">
        <f>[148]BP_8_stat_stem_AT_GC_freq_10!B2</f>
        <v>42</v>
      </c>
      <c r="J40" s="30">
        <f>[149]BP_9_stat_stem_AT_GC_freq_10!B2</f>
        <v>38</v>
      </c>
      <c r="K40" s="30">
        <f>[150]BP_10_stat_stem_AT_GC_freq_10!B2</f>
        <v>79</v>
      </c>
      <c r="L40" s="30">
        <f>[151]BP_11_stat_stem_AT_GC_freq_10!B2</f>
        <v>121</v>
      </c>
      <c r="M40" s="30">
        <f>[152]BP_12_stat_stem_AT_GC_freq_10!B2</f>
        <v>130</v>
      </c>
      <c r="N40" s="30">
        <f>[153]BP_13_stat_stem_AT_GC_freq_10!B2</f>
        <v>72</v>
      </c>
      <c r="O40" s="30">
        <f>[154]BP_14_stat_stem_AT_GC_freq_10!B2</f>
        <v>210</v>
      </c>
      <c r="P40" s="30">
        <f>[155]BP_15_stat_stem_AT_GC_freq_10!B2</f>
        <v>266</v>
      </c>
      <c r="Q40" s="30">
        <f>[156]BP_16_stat_stem_AT_GC_freq_10!B2</f>
        <v>55</v>
      </c>
    </row>
    <row r="41" spans="1:17" x14ac:dyDescent="0.15">
      <c r="A41" s="30" t="s">
        <v>38</v>
      </c>
      <c r="B41" s="30">
        <f>[141]BP_1_stat_stem_AT_GC_freq_10!B3</f>
        <v>64</v>
      </c>
      <c r="C41" s="30">
        <f>[142]BP_2_stat_stem_AT_GC_freq_10!B3</f>
        <v>183</v>
      </c>
      <c r="D41" s="30">
        <f>[143]BP_3_stat_stem_AT_GC_freq_10!B3</f>
        <v>3</v>
      </c>
      <c r="E41" s="30">
        <f>[144]BP_4_stat_stem_AT_GC_freq_10!B3</f>
        <v>5</v>
      </c>
      <c r="F41" s="30">
        <f>[145]BP_5_stat_stem_AT_GC_freq_10!B3</f>
        <v>13</v>
      </c>
      <c r="G41" s="30">
        <f>[146]BP_6_stat_stem_AT_GC_freq_10!B3</f>
        <v>4</v>
      </c>
      <c r="H41" s="30">
        <f>[147]BP_7_stat_stem_AT_GC_freq_10!B3</f>
        <v>22</v>
      </c>
      <c r="I41" s="30">
        <f>[148]BP_8_stat_stem_AT_GC_freq_10!B3</f>
        <v>3</v>
      </c>
      <c r="J41" s="30">
        <f>[149]BP_9_stat_stem_AT_GC_freq_10!B3</f>
        <v>5</v>
      </c>
      <c r="K41" s="30">
        <f>[150]BP_10_stat_stem_AT_GC_freq_10!B3</f>
        <v>14</v>
      </c>
      <c r="L41" s="30">
        <f>[151]BP_11_stat_stem_AT_GC_freq_10!B3</f>
        <v>21</v>
      </c>
      <c r="M41" s="30">
        <f>[152]BP_12_stat_stem_AT_GC_freq_10!B3</f>
        <v>18</v>
      </c>
      <c r="N41" s="30">
        <f>[153]BP_13_stat_stem_AT_GC_freq_10!B3</f>
        <v>9</v>
      </c>
      <c r="O41" s="30">
        <f>[154]BP_14_stat_stem_AT_GC_freq_10!B3</f>
        <v>26</v>
      </c>
      <c r="P41" s="30">
        <f>[155]BP_15_stat_stem_AT_GC_freq_10!B3</f>
        <v>36</v>
      </c>
      <c r="Q41" s="30">
        <f>[156]BP_16_stat_stem_AT_GC_freq_10!B3</f>
        <v>9</v>
      </c>
    </row>
    <row r="42" spans="1:17" x14ac:dyDescent="0.15">
      <c r="A42" s="30" t="s">
        <v>53</v>
      </c>
      <c r="B42" s="30">
        <f>[141]BP_1_stat_stem_AT_GC_freq_10!B4</f>
        <v>40</v>
      </c>
      <c r="C42" s="30">
        <f>[142]BP_2_stat_stem_AT_GC_freq_10!B4</f>
        <v>109</v>
      </c>
      <c r="D42" s="30">
        <f>[143]BP_3_stat_stem_AT_GC_freq_10!B4</f>
        <v>1</v>
      </c>
      <c r="E42" s="30">
        <f>[144]BP_4_stat_stem_AT_GC_freq_10!B4</f>
        <v>0</v>
      </c>
      <c r="F42" s="30">
        <f>[145]BP_5_stat_stem_AT_GC_freq_10!B4</f>
        <v>4</v>
      </c>
      <c r="G42" s="30">
        <f>[146]BP_6_stat_stem_AT_GC_freq_10!B4</f>
        <v>0</v>
      </c>
      <c r="H42" s="30">
        <f>[147]BP_7_stat_stem_AT_GC_freq_10!B4</f>
        <v>10</v>
      </c>
      <c r="I42" s="30">
        <f>[148]BP_8_stat_stem_AT_GC_freq_10!B4</f>
        <v>0</v>
      </c>
      <c r="J42" s="30">
        <f>[149]BP_9_stat_stem_AT_GC_freq_10!B4</f>
        <v>2</v>
      </c>
      <c r="K42" s="30">
        <f>[150]BP_10_stat_stem_AT_GC_freq_10!B4</f>
        <v>10</v>
      </c>
      <c r="L42" s="30">
        <f>[151]BP_11_stat_stem_AT_GC_freq_10!B4</f>
        <v>13</v>
      </c>
      <c r="M42" s="30">
        <f>[152]BP_12_stat_stem_AT_GC_freq_10!B4</f>
        <v>13</v>
      </c>
      <c r="N42" s="30">
        <f>[153]BP_13_stat_stem_AT_GC_freq_10!B4</f>
        <v>6</v>
      </c>
      <c r="O42" s="30">
        <f>[154]BP_14_stat_stem_AT_GC_freq_10!B4</f>
        <v>17</v>
      </c>
      <c r="P42" s="30">
        <f>[155]BP_15_stat_stem_AT_GC_freq_10!B4</f>
        <v>36</v>
      </c>
      <c r="Q42" s="30">
        <f>[156]BP_16_stat_stem_AT_GC_freq_10!B4</f>
        <v>4</v>
      </c>
    </row>
    <row r="43" spans="1:17" x14ac:dyDescent="0.15">
      <c r="A43" s="30" t="s">
        <v>54</v>
      </c>
      <c r="B43" s="30">
        <f>[141]BP_1_stat_stem_AT_GC_freq_10!B5</f>
        <v>34</v>
      </c>
      <c r="C43" s="30">
        <f>[142]BP_2_stat_stem_AT_GC_freq_10!B5</f>
        <v>85</v>
      </c>
      <c r="D43" s="30">
        <f>[143]BP_3_stat_stem_AT_GC_freq_10!B5</f>
        <v>5</v>
      </c>
      <c r="E43" s="30">
        <f>[144]BP_4_stat_stem_AT_GC_freq_10!B5</f>
        <v>8</v>
      </c>
      <c r="F43" s="30">
        <f>[145]BP_5_stat_stem_AT_GC_freq_10!B5</f>
        <v>7</v>
      </c>
      <c r="G43" s="30">
        <f>[146]BP_6_stat_stem_AT_GC_freq_10!B5</f>
        <v>5</v>
      </c>
      <c r="H43" s="30">
        <f>[147]BP_7_stat_stem_AT_GC_freq_10!B5</f>
        <v>8</v>
      </c>
      <c r="I43" s="30">
        <f>[148]BP_8_stat_stem_AT_GC_freq_10!B5</f>
        <v>5</v>
      </c>
      <c r="J43" s="30">
        <f>[149]BP_9_stat_stem_AT_GC_freq_10!B5</f>
        <v>6</v>
      </c>
      <c r="K43" s="30">
        <f>[150]BP_10_stat_stem_AT_GC_freq_10!B5</f>
        <v>6</v>
      </c>
      <c r="L43" s="30">
        <f>[151]BP_11_stat_stem_AT_GC_freq_10!B5</f>
        <v>12</v>
      </c>
      <c r="M43" s="30">
        <f>[152]BP_12_stat_stem_AT_GC_freq_10!B5</f>
        <v>7</v>
      </c>
      <c r="N43" s="30">
        <f>[153]BP_13_stat_stem_AT_GC_freq_10!B5</f>
        <v>5</v>
      </c>
      <c r="O43" s="30">
        <f>[154]BP_14_stat_stem_AT_GC_freq_10!B5</f>
        <v>18</v>
      </c>
      <c r="P43" s="30">
        <f>[155]BP_15_stat_stem_AT_GC_freq_10!B5</f>
        <v>13</v>
      </c>
      <c r="Q43" s="30">
        <f>[156]BP_16_stat_stem_AT_GC_freq_10!B5</f>
        <v>6</v>
      </c>
    </row>
    <row r="44" spans="1:17" x14ac:dyDescent="0.15">
      <c r="A44" s="30" t="s">
        <v>55</v>
      </c>
      <c r="B44" s="30">
        <f>[141]BP_1_stat_stem_AT_GC_freq_10!B6</f>
        <v>29</v>
      </c>
      <c r="C44" s="30">
        <f>[142]BP_2_stat_stem_AT_GC_freq_10!B6</f>
        <v>86</v>
      </c>
      <c r="D44" s="30">
        <f>[143]BP_3_stat_stem_AT_GC_freq_10!B6</f>
        <v>6</v>
      </c>
      <c r="E44" s="30">
        <f>[144]BP_4_stat_stem_AT_GC_freq_10!B6</f>
        <v>11</v>
      </c>
      <c r="F44" s="30">
        <f>[145]BP_5_stat_stem_AT_GC_freq_10!B6</f>
        <v>3</v>
      </c>
      <c r="G44" s="30">
        <f>[146]BP_6_stat_stem_AT_GC_freq_10!B6</f>
        <v>8</v>
      </c>
      <c r="H44" s="30">
        <f>[147]BP_7_stat_stem_AT_GC_freq_10!B6</f>
        <v>8</v>
      </c>
      <c r="I44" s="30">
        <f>[148]BP_8_stat_stem_AT_GC_freq_10!B6</f>
        <v>8</v>
      </c>
      <c r="J44" s="30">
        <f>[149]BP_9_stat_stem_AT_GC_freq_10!B6</f>
        <v>4</v>
      </c>
      <c r="K44" s="30">
        <f>[150]BP_10_stat_stem_AT_GC_freq_10!B6</f>
        <v>8</v>
      </c>
      <c r="L44" s="30">
        <f>[151]BP_11_stat_stem_AT_GC_freq_10!B6</f>
        <v>7</v>
      </c>
      <c r="M44" s="30">
        <f>[152]BP_12_stat_stem_AT_GC_freq_10!B6</f>
        <v>8</v>
      </c>
      <c r="N44" s="30">
        <f>[153]BP_13_stat_stem_AT_GC_freq_10!B6</f>
        <v>6</v>
      </c>
      <c r="O44" s="30">
        <f>[154]BP_14_stat_stem_AT_GC_freq_10!B6</f>
        <v>17</v>
      </c>
      <c r="P44" s="30">
        <f>[155]BP_15_stat_stem_AT_GC_freq_10!B6</f>
        <v>23</v>
      </c>
      <c r="Q44" s="30">
        <f>[156]BP_16_stat_stem_AT_GC_freq_10!B6</f>
        <v>7</v>
      </c>
    </row>
    <row r="45" spans="1:17" x14ac:dyDescent="0.15">
      <c r="A45" s="30" t="s">
        <v>56</v>
      </c>
      <c r="B45" s="30">
        <f>[141]BP_1_stat_stem_AT_GC_freq_10!B7</f>
        <v>40</v>
      </c>
      <c r="C45" s="30">
        <f>[142]BP_2_stat_stem_AT_GC_freq_10!B7</f>
        <v>73</v>
      </c>
      <c r="D45" s="30">
        <f>[143]BP_3_stat_stem_AT_GC_freq_10!B7</f>
        <v>2</v>
      </c>
      <c r="E45" s="30">
        <f>[144]BP_4_stat_stem_AT_GC_freq_10!B7</f>
        <v>3</v>
      </c>
      <c r="F45" s="30">
        <f>[145]BP_5_stat_stem_AT_GC_freq_10!B7</f>
        <v>2</v>
      </c>
      <c r="G45" s="30">
        <f>[146]BP_6_stat_stem_AT_GC_freq_10!B7</f>
        <v>3</v>
      </c>
      <c r="H45" s="30">
        <f>[147]BP_7_stat_stem_AT_GC_freq_10!B7</f>
        <v>8</v>
      </c>
      <c r="I45" s="30">
        <f>[148]BP_8_stat_stem_AT_GC_freq_10!B7</f>
        <v>3</v>
      </c>
      <c r="J45" s="30">
        <f>[149]BP_9_stat_stem_AT_GC_freq_10!B7</f>
        <v>4</v>
      </c>
      <c r="K45" s="30">
        <f>[150]BP_10_stat_stem_AT_GC_freq_10!B7</f>
        <v>2</v>
      </c>
      <c r="L45" s="30">
        <f>[151]BP_11_stat_stem_AT_GC_freq_10!B7</f>
        <v>7</v>
      </c>
      <c r="M45" s="30">
        <f>[152]BP_12_stat_stem_AT_GC_freq_10!B7</f>
        <v>6</v>
      </c>
      <c r="N45" s="30">
        <f>[153]BP_13_stat_stem_AT_GC_freq_10!B7</f>
        <v>1</v>
      </c>
      <c r="O45" s="30">
        <f>[154]BP_14_stat_stem_AT_GC_freq_10!B7</f>
        <v>19</v>
      </c>
      <c r="P45" s="30">
        <f>[155]BP_15_stat_stem_AT_GC_freq_10!B7</f>
        <v>16</v>
      </c>
      <c r="Q45" s="30">
        <f>[156]BP_16_stat_stem_AT_GC_freq_10!B7</f>
        <v>4</v>
      </c>
    </row>
    <row r="46" spans="1:17" x14ac:dyDescent="0.15">
      <c r="A46" s="30" t="s">
        <v>57</v>
      </c>
      <c r="B46" s="30">
        <f>[141]BP_1_stat_stem_AT_GC_freq_10!B8</f>
        <v>29</v>
      </c>
      <c r="C46" s="30">
        <f>[142]BP_2_stat_stem_AT_GC_freq_10!B8</f>
        <v>55</v>
      </c>
      <c r="D46" s="30">
        <f>[143]BP_3_stat_stem_AT_GC_freq_10!B8</f>
        <v>3</v>
      </c>
      <c r="E46" s="30">
        <f>[144]BP_4_stat_stem_AT_GC_freq_10!B8</f>
        <v>4</v>
      </c>
      <c r="F46" s="30">
        <f>[145]BP_5_stat_stem_AT_GC_freq_10!B8</f>
        <v>2</v>
      </c>
      <c r="G46" s="30">
        <f>[146]BP_6_stat_stem_AT_GC_freq_10!B8</f>
        <v>3</v>
      </c>
      <c r="H46" s="30">
        <f>[147]BP_7_stat_stem_AT_GC_freq_10!B8</f>
        <v>10</v>
      </c>
      <c r="I46" s="30">
        <f>[148]BP_8_stat_stem_AT_GC_freq_10!B8</f>
        <v>3</v>
      </c>
      <c r="J46" s="30">
        <f>[149]BP_9_stat_stem_AT_GC_freq_10!B8</f>
        <v>2</v>
      </c>
      <c r="K46" s="30">
        <f>[150]BP_10_stat_stem_AT_GC_freq_10!B8</f>
        <v>5</v>
      </c>
      <c r="L46" s="30">
        <f>[151]BP_11_stat_stem_AT_GC_freq_10!B8</f>
        <v>6</v>
      </c>
      <c r="M46" s="30">
        <f>[152]BP_12_stat_stem_AT_GC_freq_10!B8</f>
        <v>5</v>
      </c>
      <c r="N46" s="30">
        <f>[153]BP_13_stat_stem_AT_GC_freq_10!B8</f>
        <v>8</v>
      </c>
      <c r="O46" s="30">
        <f>[154]BP_14_stat_stem_AT_GC_freq_10!B8</f>
        <v>11</v>
      </c>
      <c r="P46" s="30">
        <f>[155]BP_15_stat_stem_AT_GC_freq_10!B8</f>
        <v>17</v>
      </c>
      <c r="Q46" s="30">
        <f>[156]BP_16_stat_stem_AT_GC_freq_10!B8</f>
        <v>5</v>
      </c>
    </row>
    <row r="47" spans="1:17" x14ac:dyDescent="0.15">
      <c r="A47" s="30" t="s">
        <v>58</v>
      </c>
      <c r="B47" s="30">
        <f>[141]BP_1_stat_stem_AT_GC_freq_10!B9</f>
        <v>24</v>
      </c>
      <c r="C47" s="30">
        <f>[142]BP_2_stat_stem_AT_GC_freq_10!B9</f>
        <v>82</v>
      </c>
      <c r="D47" s="30">
        <f>[143]BP_3_stat_stem_AT_GC_freq_10!B9</f>
        <v>2</v>
      </c>
      <c r="E47" s="30">
        <f>[144]BP_4_stat_stem_AT_GC_freq_10!B9</f>
        <v>2</v>
      </c>
      <c r="F47" s="30">
        <f>[145]BP_5_stat_stem_AT_GC_freq_10!B9</f>
        <v>3</v>
      </c>
      <c r="G47" s="30">
        <f>[146]BP_6_stat_stem_AT_GC_freq_10!B9</f>
        <v>2</v>
      </c>
      <c r="H47" s="30">
        <f>[147]BP_7_stat_stem_AT_GC_freq_10!B9</f>
        <v>9</v>
      </c>
      <c r="I47" s="30">
        <f>[148]BP_8_stat_stem_AT_GC_freq_10!B9</f>
        <v>2</v>
      </c>
      <c r="J47" s="30">
        <f>[149]BP_9_stat_stem_AT_GC_freq_10!B9</f>
        <v>0</v>
      </c>
      <c r="K47" s="30">
        <f>[150]BP_10_stat_stem_AT_GC_freq_10!B9</f>
        <v>8</v>
      </c>
      <c r="L47" s="30">
        <f>[151]BP_11_stat_stem_AT_GC_freq_10!B9</f>
        <v>3</v>
      </c>
      <c r="M47" s="30">
        <f>[152]BP_12_stat_stem_AT_GC_freq_10!B9</f>
        <v>8</v>
      </c>
      <c r="N47" s="30">
        <f>[153]BP_13_stat_stem_AT_GC_freq_10!B9</f>
        <v>5</v>
      </c>
      <c r="O47" s="30">
        <f>[154]BP_14_stat_stem_AT_GC_freq_10!B9</f>
        <v>13</v>
      </c>
      <c r="P47" s="30">
        <f>[155]BP_15_stat_stem_AT_GC_freq_10!B9</f>
        <v>21</v>
      </c>
      <c r="Q47" s="30">
        <f>[156]BP_16_stat_stem_AT_GC_freq_10!B9</f>
        <v>3</v>
      </c>
    </row>
    <row r="48" spans="1:17" x14ac:dyDescent="0.15">
      <c r="A48" s="30" t="s">
        <v>59</v>
      </c>
      <c r="B48" s="30">
        <f>[141]BP_1_stat_stem_AT_GC_freq_10!B10</f>
        <v>34</v>
      </c>
      <c r="C48" s="30">
        <f>[142]BP_2_stat_stem_AT_GC_freq_10!B10</f>
        <v>105</v>
      </c>
      <c r="D48" s="30">
        <f>[143]BP_3_stat_stem_AT_GC_freq_10!B10</f>
        <v>5</v>
      </c>
      <c r="E48" s="30">
        <f>[144]BP_4_stat_stem_AT_GC_freq_10!B10</f>
        <v>3</v>
      </c>
      <c r="F48" s="30">
        <f>[145]BP_5_stat_stem_AT_GC_freq_10!B10</f>
        <v>10</v>
      </c>
      <c r="G48" s="30">
        <f>[146]BP_6_stat_stem_AT_GC_freq_10!B10</f>
        <v>4</v>
      </c>
      <c r="H48" s="30">
        <f>[147]BP_7_stat_stem_AT_GC_freq_10!B10</f>
        <v>14</v>
      </c>
      <c r="I48" s="30">
        <f>[148]BP_8_stat_stem_AT_GC_freq_10!B10</f>
        <v>4</v>
      </c>
      <c r="J48" s="30">
        <f>[149]BP_9_stat_stem_AT_GC_freq_10!B10</f>
        <v>5</v>
      </c>
      <c r="K48" s="30">
        <f>[150]BP_10_stat_stem_AT_GC_freq_10!B10</f>
        <v>6</v>
      </c>
      <c r="L48" s="30">
        <f>[151]BP_11_stat_stem_AT_GC_freq_10!B10</f>
        <v>3</v>
      </c>
      <c r="M48" s="30">
        <f>[152]BP_12_stat_stem_AT_GC_freq_10!B10</f>
        <v>10</v>
      </c>
      <c r="N48" s="30">
        <f>[153]BP_13_stat_stem_AT_GC_freq_10!B10</f>
        <v>7</v>
      </c>
      <c r="O48" s="30">
        <f>[154]BP_14_stat_stem_AT_GC_freq_10!B10</f>
        <v>26</v>
      </c>
      <c r="P48" s="30">
        <f>[155]BP_15_stat_stem_AT_GC_freq_10!B10</f>
        <v>23</v>
      </c>
      <c r="Q48" s="30">
        <f>[156]BP_16_stat_stem_AT_GC_freq_10!B10</f>
        <v>3</v>
      </c>
    </row>
    <row r="49" spans="1:17" x14ac:dyDescent="0.15">
      <c r="A49" s="30" t="s">
        <v>60</v>
      </c>
      <c r="B49" s="30">
        <f>[141]BP_1_stat_stem_AT_GC_freq_10!B11</f>
        <v>117</v>
      </c>
      <c r="C49" s="30">
        <f>[142]BP_2_stat_stem_AT_GC_freq_10!B11</f>
        <v>314</v>
      </c>
      <c r="D49" s="30">
        <f>[143]BP_3_stat_stem_AT_GC_freq_10!B11</f>
        <v>13</v>
      </c>
      <c r="E49" s="30">
        <f>[144]BP_4_stat_stem_AT_GC_freq_10!B11</f>
        <v>7</v>
      </c>
      <c r="F49" s="30">
        <f>[145]BP_5_stat_stem_AT_GC_freq_10!B11</f>
        <v>27</v>
      </c>
      <c r="G49" s="30">
        <f>[146]BP_6_stat_stem_AT_GC_freq_10!B11</f>
        <v>11</v>
      </c>
      <c r="H49" s="30">
        <f>[147]BP_7_stat_stem_AT_GC_freq_10!B11</f>
        <v>51</v>
      </c>
      <c r="I49" s="30">
        <f>[148]BP_8_stat_stem_AT_GC_freq_10!B11</f>
        <v>8</v>
      </c>
      <c r="J49" s="30">
        <f>[149]BP_9_stat_stem_AT_GC_freq_10!B11</f>
        <v>18</v>
      </c>
      <c r="K49" s="30">
        <f>[150]BP_10_stat_stem_AT_GC_freq_10!B11</f>
        <v>19</v>
      </c>
      <c r="L49" s="30">
        <f>[151]BP_11_stat_stem_AT_GC_freq_10!B11</f>
        <v>49</v>
      </c>
      <c r="M49" s="30">
        <f>[152]BP_12_stat_stem_AT_GC_freq_10!B11</f>
        <v>34</v>
      </c>
      <c r="N49" s="30">
        <f>[153]BP_13_stat_stem_AT_GC_freq_10!B11</f>
        <v>19</v>
      </c>
      <c r="O49" s="30">
        <f>[154]BP_14_stat_stem_AT_GC_freq_10!B11</f>
        <v>54</v>
      </c>
      <c r="P49" s="30">
        <f>[155]BP_15_stat_stem_AT_GC_freq_10!B11</f>
        <v>85</v>
      </c>
      <c r="Q49" s="30">
        <f>[156]BP_16_stat_stem_AT_GC_freq_10!B11</f>
        <v>8</v>
      </c>
    </row>
    <row r="50" spans="1:17" x14ac:dyDescent="0.15">
      <c r="A50" s="30" t="s">
        <v>61</v>
      </c>
      <c r="B50" s="30">
        <f t="shared" ref="B50:Q50" si="22">SUM(B40:B49)</f>
        <v>823</v>
      </c>
      <c r="C50" s="30">
        <f t="shared" si="22"/>
        <v>2134</v>
      </c>
      <c r="D50" s="30">
        <f t="shared" si="22"/>
        <v>89</v>
      </c>
      <c r="E50" s="30">
        <f t="shared" si="22"/>
        <v>91</v>
      </c>
      <c r="F50" s="30">
        <f t="shared" si="22"/>
        <v>135</v>
      </c>
      <c r="G50" s="30">
        <f t="shared" si="22"/>
        <v>96</v>
      </c>
      <c r="H50" s="30">
        <f t="shared" si="22"/>
        <v>273</v>
      </c>
      <c r="I50" s="30">
        <f t="shared" si="22"/>
        <v>78</v>
      </c>
      <c r="J50" s="30">
        <f t="shared" si="22"/>
        <v>84</v>
      </c>
      <c r="K50" s="30">
        <f t="shared" si="22"/>
        <v>157</v>
      </c>
      <c r="L50" s="30">
        <f t="shared" si="22"/>
        <v>242</v>
      </c>
      <c r="M50" s="30">
        <f t="shared" si="22"/>
        <v>239</v>
      </c>
      <c r="N50" s="30">
        <f t="shared" si="22"/>
        <v>138</v>
      </c>
      <c r="O50" s="30">
        <f t="shared" si="22"/>
        <v>411</v>
      </c>
      <c r="P50" s="30">
        <f t="shared" si="22"/>
        <v>536</v>
      </c>
      <c r="Q50" s="30">
        <f t="shared" si="22"/>
        <v>104</v>
      </c>
    </row>
    <row r="51" spans="1:17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spans="1:17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spans="1:17" x14ac:dyDescent="0.15">
      <c r="A53" s="30" t="s">
        <v>23</v>
      </c>
      <c r="B53" s="30" t="s">
        <v>24</v>
      </c>
      <c r="C53" s="30" t="s">
        <v>24</v>
      </c>
      <c r="D53" s="30" t="s">
        <v>24</v>
      </c>
      <c r="E53" s="30" t="s">
        <v>24</v>
      </c>
      <c r="F53" s="30" t="s">
        <v>24</v>
      </c>
      <c r="G53" s="30" t="s">
        <v>24</v>
      </c>
      <c r="H53" s="30" t="s">
        <v>24</v>
      </c>
      <c r="I53" s="30" t="s">
        <v>24</v>
      </c>
      <c r="J53" s="30" t="s">
        <v>24</v>
      </c>
      <c r="K53" s="30" t="s">
        <v>24</v>
      </c>
      <c r="L53" s="30" t="s">
        <v>24</v>
      </c>
      <c r="M53" s="30" t="s">
        <v>24</v>
      </c>
      <c r="N53" s="30" t="s">
        <v>24</v>
      </c>
      <c r="O53" s="30" t="s">
        <v>24</v>
      </c>
      <c r="P53" s="30" t="s">
        <v>24</v>
      </c>
      <c r="Q53" s="30" t="s">
        <v>24</v>
      </c>
    </row>
    <row r="54" spans="1:17" x14ac:dyDescent="0.15">
      <c r="A54" s="30" t="s">
        <v>52</v>
      </c>
      <c r="B54" s="30">
        <f>B40/B$50</f>
        <v>0.50060753341433784</v>
      </c>
      <c r="C54" s="30">
        <f t="shared" ref="C54:Q54" si="23">C40/C$50</f>
        <v>0.48828491096532334</v>
      </c>
      <c r="D54" s="30">
        <f t="shared" si="23"/>
        <v>0.550561797752809</v>
      </c>
      <c r="E54" s="30">
        <f t="shared" si="23"/>
        <v>0.52747252747252749</v>
      </c>
      <c r="F54" s="30">
        <f t="shared" si="23"/>
        <v>0.47407407407407409</v>
      </c>
      <c r="G54" s="30">
        <f t="shared" si="23"/>
        <v>0.58333333333333337</v>
      </c>
      <c r="H54" s="30">
        <f t="shared" si="23"/>
        <v>0.48717948717948717</v>
      </c>
      <c r="I54" s="30">
        <f t="shared" si="23"/>
        <v>0.53846153846153844</v>
      </c>
      <c r="J54" s="30">
        <f t="shared" si="23"/>
        <v>0.45238095238095238</v>
      </c>
      <c r="K54" s="30">
        <f t="shared" si="23"/>
        <v>0.50318471337579618</v>
      </c>
      <c r="L54" s="30">
        <f t="shared" si="23"/>
        <v>0.5</v>
      </c>
      <c r="M54" s="30">
        <f t="shared" si="23"/>
        <v>0.54393305439330542</v>
      </c>
      <c r="N54" s="30">
        <f t="shared" si="23"/>
        <v>0.52173913043478259</v>
      </c>
      <c r="O54" s="30">
        <f t="shared" si="23"/>
        <v>0.51094890510948909</v>
      </c>
      <c r="P54" s="30">
        <f t="shared" si="23"/>
        <v>0.4962686567164179</v>
      </c>
      <c r="Q54" s="30">
        <f t="shared" si="23"/>
        <v>0.52884615384615385</v>
      </c>
    </row>
    <row r="55" spans="1:17" x14ac:dyDescent="0.15">
      <c r="A55" s="30" t="s">
        <v>38</v>
      </c>
      <c r="B55" s="30">
        <f>B41/B$50</f>
        <v>7.7764277035236931E-2</v>
      </c>
      <c r="C55" s="30">
        <f t="shared" ref="B55:Q63" si="24">C41/C$50</f>
        <v>8.575445173383317E-2</v>
      </c>
      <c r="D55" s="30">
        <f t="shared" si="24"/>
        <v>3.3707865168539325E-2</v>
      </c>
      <c r="E55" s="30">
        <f t="shared" si="24"/>
        <v>5.4945054945054944E-2</v>
      </c>
      <c r="F55" s="30">
        <f t="shared" si="24"/>
        <v>9.6296296296296297E-2</v>
      </c>
      <c r="G55" s="30">
        <f t="shared" si="24"/>
        <v>4.1666666666666664E-2</v>
      </c>
      <c r="H55" s="30">
        <f t="shared" si="24"/>
        <v>8.0586080586080591E-2</v>
      </c>
      <c r="I55" s="30">
        <f t="shared" si="24"/>
        <v>3.8461538461538464E-2</v>
      </c>
      <c r="J55" s="30">
        <f t="shared" si="24"/>
        <v>5.9523809523809521E-2</v>
      </c>
      <c r="K55" s="30">
        <f t="shared" si="24"/>
        <v>8.9171974522292988E-2</v>
      </c>
      <c r="L55" s="30">
        <f t="shared" si="24"/>
        <v>8.6776859504132234E-2</v>
      </c>
      <c r="M55" s="30">
        <f t="shared" si="24"/>
        <v>7.5313807531380755E-2</v>
      </c>
      <c r="N55" s="30">
        <f t="shared" si="24"/>
        <v>6.5217391304347824E-2</v>
      </c>
      <c r="O55" s="30">
        <f t="shared" si="24"/>
        <v>6.3260340632603412E-2</v>
      </c>
      <c r="P55" s="30">
        <f t="shared" si="24"/>
        <v>6.7164179104477612E-2</v>
      </c>
      <c r="Q55" s="30">
        <f t="shared" si="24"/>
        <v>8.6538461538461536E-2</v>
      </c>
    </row>
    <row r="56" spans="1:17" x14ac:dyDescent="0.15">
      <c r="A56" s="30" t="s">
        <v>53</v>
      </c>
      <c r="B56" s="30">
        <f t="shared" si="24"/>
        <v>4.8602673147023087E-2</v>
      </c>
      <c r="C56" s="30">
        <f t="shared" si="24"/>
        <v>5.107778819119025E-2</v>
      </c>
      <c r="D56" s="30">
        <f t="shared" si="24"/>
        <v>1.1235955056179775E-2</v>
      </c>
      <c r="E56" s="30">
        <f t="shared" si="24"/>
        <v>0</v>
      </c>
      <c r="F56" s="30">
        <f t="shared" si="24"/>
        <v>2.9629629629629631E-2</v>
      </c>
      <c r="G56" s="30">
        <f t="shared" si="24"/>
        <v>0</v>
      </c>
      <c r="H56" s="30">
        <f t="shared" si="24"/>
        <v>3.6630036630036632E-2</v>
      </c>
      <c r="I56" s="30">
        <f t="shared" si="24"/>
        <v>0</v>
      </c>
      <c r="J56" s="30">
        <f t="shared" si="24"/>
        <v>2.3809523809523808E-2</v>
      </c>
      <c r="K56" s="30">
        <f t="shared" si="24"/>
        <v>6.3694267515923567E-2</v>
      </c>
      <c r="L56" s="30">
        <f t="shared" si="24"/>
        <v>5.3719008264462811E-2</v>
      </c>
      <c r="M56" s="30">
        <f t="shared" si="24"/>
        <v>5.4393305439330547E-2</v>
      </c>
      <c r="N56" s="30">
        <f t="shared" si="24"/>
        <v>4.3478260869565216E-2</v>
      </c>
      <c r="O56" s="30">
        <f t="shared" si="24"/>
        <v>4.1362530413625302E-2</v>
      </c>
      <c r="P56" s="30">
        <f t="shared" si="24"/>
        <v>6.7164179104477612E-2</v>
      </c>
      <c r="Q56" s="30">
        <f t="shared" si="24"/>
        <v>3.8461538461538464E-2</v>
      </c>
    </row>
    <row r="57" spans="1:17" x14ac:dyDescent="0.15">
      <c r="A57" s="30" t="s">
        <v>54</v>
      </c>
      <c r="B57" s="30">
        <f t="shared" si="24"/>
        <v>4.1312272174969626E-2</v>
      </c>
      <c r="C57" s="30">
        <f t="shared" si="24"/>
        <v>3.9831302717900655E-2</v>
      </c>
      <c r="D57" s="30">
        <f t="shared" si="24"/>
        <v>5.6179775280898875E-2</v>
      </c>
      <c r="E57" s="30">
        <f t="shared" si="24"/>
        <v>8.7912087912087919E-2</v>
      </c>
      <c r="F57" s="30">
        <f t="shared" si="24"/>
        <v>5.185185185185185E-2</v>
      </c>
      <c r="G57" s="30">
        <f t="shared" si="24"/>
        <v>5.2083333333333336E-2</v>
      </c>
      <c r="H57" s="30">
        <f t="shared" si="24"/>
        <v>2.9304029304029304E-2</v>
      </c>
      <c r="I57" s="30">
        <f t="shared" si="24"/>
        <v>6.4102564102564097E-2</v>
      </c>
      <c r="J57" s="30">
        <f t="shared" si="24"/>
        <v>7.1428571428571425E-2</v>
      </c>
      <c r="K57" s="30">
        <f t="shared" si="24"/>
        <v>3.8216560509554139E-2</v>
      </c>
      <c r="L57" s="30">
        <f t="shared" si="24"/>
        <v>4.9586776859504134E-2</v>
      </c>
      <c r="M57" s="30">
        <f t="shared" si="24"/>
        <v>2.9288702928870293E-2</v>
      </c>
      <c r="N57" s="30">
        <f t="shared" si="24"/>
        <v>3.6231884057971016E-2</v>
      </c>
      <c r="O57" s="30">
        <f t="shared" si="24"/>
        <v>4.3795620437956206E-2</v>
      </c>
      <c r="P57" s="30">
        <f t="shared" si="24"/>
        <v>2.4253731343283583E-2</v>
      </c>
      <c r="Q57" s="30">
        <f t="shared" si="24"/>
        <v>5.7692307692307696E-2</v>
      </c>
    </row>
    <row r="58" spans="1:17" x14ac:dyDescent="0.15">
      <c r="A58" s="30" t="s">
        <v>55</v>
      </c>
      <c r="B58" s="30">
        <f t="shared" si="24"/>
        <v>3.5236938031591739E-2</v>
      </c>
      <c r="C58" s="30">
        <f t="shared" si="24"/>
        <v>4.0299906279287721E-2</v>
      </c>
      <c r="D58" s="30">
        <f t="shared" si="24"/>
        <v>6.741573033707865E-2</v>
      </c>
      <c r="E58" s="30">
        <f t="shared" si="24"/>
        <v>0.12087912087912088</v>
      </c>
      <c r="F58" s="30">
        <f t="shared" si="24"/>
        <v>2.2222222222222223E-2</v>
      </c>
      <c r="G58" s="30">
        <f t="shared" si="24"/>
        <v>8.3333333333333329E-2</v>
      </c>
      <c r="H58" s="30">
        <f t="shared" si="24"/>
        <v>2.9304029304029304E-2</v>
      </c>
      <c r="I58" s="30">
        <f t="shared" si="24"/>
        <v>0.10256410256410256</v>
      </c>
      <c r="J58" s="30">
        <f t="shared" si="24"/>
        <v>4.7619047619047616E-2</v>
      </c>
      <c r="K58" s="30">
        <f t="shared" si="24"/>
        <v>5.0955414012738856E-2</v>
      </c>
      <c r="L58" s="30">
        <f t="shared" si="24"/>
        <v>2.8925619834710745E-2</v>
      </c>
      <c r="M58" s="30">
        <f t="shared" si="24"/>
        <v>3.3472803347280332E-2</v>
      </c>
      <c r="N58" s="30">
        <f t="shared" si="24"/>
        <v>4.3478260869565216E-2</v>
      </c>
      <c r="O58" s="30">
        <f t="shared" si="24"/>
        <v>4.1362530413625302E-2</v>
      </c>
      <c r="P58" s="30">
        <f t="shared" si="24"/>
        <v>4.2910447761194029E-2</v>
      </c>
      <c r="Q58" s="30">
        <f t="shared" si="24"/>
        <v>6.7307692307692304E-2</v>
      </c>
    </row>
    <row r="59" spans="1:17" x14ac:dyDescent="0.15">
      <c r="A59" s="30" t="s">
        <v>56</v>
      </c>
      <c r="B59" s="30">
        <f t="shared" si="24"/>
        <v>4.8602673147023087E-2</v>
      </c>
      <c r="C59" s="30">
        <f t="shared" si="24"/>
        <v>3.420805998125586E-2</v>
      </c>
      <c r="D59" s="30">
        <f t="shared" si="24"/>
        <v>2.247191011235955E-2</v>
      </c>
      <c r="E59" s="30">
        <f t="shared" si="24"/>
        <v>3.2967032967032968E-2</v>
      </c>
      <c r="F59" s="30">
        <f t="shared" si="24"/>
        <v>1.4814814814814815E-2</v>
      </c>
      <c r="G59" s="30">
        <f t="shared" si="24"/>
        <v>3.125E-2</v>
      </c>
      <c r="H59" s="30">
        <f t="shared" si="24"/>
        <v>2.9304029304029304E-2</v>
      </c>
      <c r="I59" s="30">
        <f t="shared" si="24"/>
        <v>3.8461538461538464E-2</v>
      </c>
      <c r="J59" s="30">
        <f t="shared" si="24"/>
        <v>4.7619047619047616E-2</v>
      </c>
      <c r="K59" s="30">
        <f t="shared" si="24"/>
        <v>1.2738853503184714E-2</v>
      </c>
      <c r="L59" s="30">
        <f t="shared" si="24"/>
        <v>2.8925619834710745E-2</v>
      </c>
      <c r="M59" s="30">
        <f t="shared" si="24"/>
        <v>2.5104602510460251E-2</v>
      </c>
      <c r="N59" s="30">
        <f t="shared" si="24"/>
        <v>7.246376811594203E-3</v>
      </c>
      <c r="O59" s="30">
        <f t="shared" si="24"/>
        <v>4.6228710462287104E-2</v>
      </c>
      <c r="P59" s="30">
        <f t="shared" si="24"/>
        <v>2.9850746268656716E-2</v>
      </c>
      <c r="Q59" s="30">
        <f t="shared" si="24"/>
        <v>3.8461538461538464E-2</v>
      </c>
    </row>
    <row r="60" spans="1:17" x14ac:dyDescent="0.15">
      <c r="A60" s="30" t="s">
        <v>57</v>
      </c>
      <c r="B60" s="30">
        <f t="shared" si="24"/>
        <v>3.5236938031591739E-2</v>
      </c>
      <c r="C60" s="30">
        <f t="shared" si="24"/>
        <v>2.5773195876288658E-2</v>
      </c>
      <c r="D60" s="30">
        <f t="shared" si="24"/>
        <v>3.3707865168539325E-2</v>
      </c>
      <c r="E60" s="30">
        <f t="shared" si="24"/>
        <v>4.3956043956043959E-2</v>
      </c>
      <c r="F60" s="30">
        <f t="shared" si="24"/>
        <v>1.4814814814814815E-2</v>
      </c>
      <c r="G60" s="30">
        <f t="shared" si="24"/>
        <v>3.125E-2</v>
      </c>
      <c r="H60" s="30">
        <f t="shared" si="24"/>
        <v>3.6630036630036632E-2</v>
      </c>
      <c r="I60" s="30">
        <f t="shared" si="24"/>
        <v>3.8461538461538464E-2</v>
      </c>
      <c r="J60" s="30">
        <f t="shared" si="24"/>
        <v>2.3809523809523808E-2</v>
      </c>
      <c r="K60" s="30">
        <f t="shared" si="24"/>
        <v>3.1847133757961783E-2</v>
      </c>
      <c r="L60" s="30">
        <f t="shared" si="24"/>
        <v>2.4793388429752067E-2</v>
      </c>
      <c r="M60" s="30">
        <f t="shared" si="24"/>
        <v>2.0920502092050208E-2</v>
      </c>
      <c r="N60" s="30">
        <f t="shared" si="24"/>
        <v>5.7971014492753624E-2</v>
      </c>
      <c r="O60" s="30">
        <f t="shared" si="24"/>
        <v>2.6763990267639901E-2</v>
      </c>
      <c r="P60" s="30">
        <f t="shared" si="24"/>
        <v>3.1716417910447763E-2</v>
      </c>
      <c r="Q60" s="30">
        <f t="shared" si="24"/>
        <v>4.807692307692308E-2</v>
      </c>
    </row>
    <row r="61" spans="1:17" x14ac:dyDescent="0.15">
      <c r="A61" s="30" t="s">
        <v>58</v>
      </c>
      <c r="B61" s="30">
        <f t="shared" si="24"/>
        <v>2.9161603888213851E-2</v>
      </c>
      <c r="C61" s="30">
        <f t="shared" si="24"/>
        <v>3.8425492033739454E-2</v>
      </c>
      <c r="D61" s="30">
        <f t="shared" si="24"/>
        <v>2.247191011235955E-2</v>
      </c>
      <c r="E61" s="30">
        <f t="shared" si="24"/>
        <v>2.197802197802198E-2</v>
      </c>
      <c r="F61" s="30">
        <f t="shared" si="24"/>
        <v>2.2222222222222223E-2</v>
      </c>
      <c r="G61" s="30">
        <f t="shared" si="24"/>
        <v>2.0833333333333332E-2</v>
      </c>
      <c r="H61" s="30">
        <f t="shared" si="24"/>
        <v>3.2967032967032968E-2</v>
      </c>
      <c r="I61" s="30">
        <f t="shared" si="24"/>
        <v>2.564102564102564E-2</v>
      </c>
      <c r="J61" s="30">
        <f t="shared" si="24"/>
        <v>0</v>
      </c>
      <c r="K61" s="30">
        <f t="shared" si="24"/>
        <v>5.0955414012738856E-2</v>
      </c>
      <c r="L61" s="30">
        <f t="shared" si="24"/>
        <v>1.2396694214876033E-2</v>
      </c>
      <c r="M61" s="30">
        <f t="shared" si="24"/>
        <v>3.3472803347280332E-2</v>
      </c>
      <c r="N61" s="30">
        <f t="shared" si="24"/>
        <v>3.6231884057971016E-2</v>
      </c>
      <c r="O61" s="30">
        <f t="shared" si="24"/>
        <v>3.1630170316301706E-2</v>
      </c>
      <c r="P61" s="30">
        <f t="shared" si="24"/>
        <v>3.9179104477611942E-2</v>
      </c>
      <c r="Q61" s="30">
        <f t="shared" si="24"/>
        <v>2.8846153846153848E-2</v>
      </c>
    </row>
    <row r="62" spans="1:17" x14ac:dyDescent="0.15">
      <c r="A62" s="30" t="s">
        <v>59</v>
      </c>
      <c r="B62" s="30">
        <f t="shared" si="24"/>
        <v>4.1312272174969626E-2</v>
      </c>
      <c r="C62" s="30">
        <f t="shared" si="24"/>
        <v>4.920337394564199E-2</v>
      </c>
      <c r="D62" s="30">
        <f t="shared" si="24"/>
        <v>5.6179775280898875E-2</v>
      </c>
      <c r="E62" s="30">
        <f t="shared" si="24"/>
        <v>3.2967032967032968E-2</v>
      </c>
      <c r="F62" s="30">
        <f t="shared" si="24"/>
        <v>7.407407407407407E-2</v>
      </c>
      <c r="G62" s="30">
        <f t="shared" si="24"/>
        <v>4.1666666666666664E-2</v>
      </c>
      <c r="H62" s="30">
        <f t="shared" si="24"/>
        <v>5.128205128205128E-2</v>
      </c>
      <c r="I62" s="30">
        <f t="shared" si="24"/>
        <v>5.128205128205128E-2</v>
      </c>
      <c r="J62" s="30">
        <f t="shared" si="24"/>
        <v>5.9523809523809521E-2</v>
      </c>
      <c r="K62" s="30">
        <f t="shared" si="24"/>
        <v>3.8216560509554139E-2</v>
      </c>
      <c r="L62" s="30">
        <f t="shared" si="24"/>
        <v>1.2396694214876033E-2</v>
      </c>
      <c r="M62" s="30">
        <f t="shared" si="24"/>
        <v>4.1841004184100417E-2</v>
      </c>
      <c r="N62" s="30">
        <f t="shared" si="24"/>
        <v>5.0724637681159424E-2</v>
      </c>
      <c r="O62" s="30">
        <f t="shared" si="24"/>
        <v>6.3260340632603412E-2</v>
      </c>
      <c r="P62" s="30">
        <f t="shared" si="24"/>
        <v>4.2910447761194029E-2</v>
      </c>
      <c r="Q62" s="30">
        <f t="shared" si="24"/>
        <v>2.8846153846153848E-2</v>
      </c>
    </row>
    <row r="63" spans="1:17" x14ac:dyDescent="0.15">
      <c r="A63" s="30" t="s">
        <v>60</v>
      </c>
      <c r="B63" s="30">
        <f t="shared" si="24"/>
        <v>0.14216281895504251</v>
      </c>
      <c r="C63" s="30">
        <f t="shared" si="24"/>
        <v>0.1471415182755389</v>
      </c>
      <c r="D63" s="30">
        <f t="shared" si="24"/>
        <v>0.14606741573033707</v>
      </c>
      <c r="E63" s="30">
        <f t="shared" si="24"/>
        <v>7.6923076923076927E-2</v>
      </c>
      <c r="F63" s="30">
        <f t="shared" si="24"/>
        <v>0.2</v>
      </c>
      <c r="G63" s="30">
        <f t="shared" si="24"/>
        <v>0.11458333333333333</v>
      </c>
      <c r="H63" s="30">
        <f t="shared" si="24"/>
        <v>0.18681318681318682</v>
      </c>
      <c r="I63" s="30">
        <f t="shared" si="24"/>
        <v>0.10256410256410256</v>
      </c>
      <c r="J63" s="30">
        <f t="shared" si="24"/>
        <v>0.21428571428571427</v>
      </c>
      <c r="K63" s="30">
        <f t="shared" si="24"/>
        <v>0.12101910828025478</v>
      </c>
      <c r="L63" s="30">
        <f t="shared" si="24"/>
        <v>0.2024793388429752</v>
      </c>
      <c r="M63" s="30">
        <f t="shared" si="24"/>
        <v>0.14225941422594143</v>
      </c>
      <c r="N63" s="30">
        <f t="shared" si="24"/>
        <v>0.13768115942028986</v>
      </c>
      <c r="O63" s="30">
        <f t="shared" si="24"/>
        <v>0.13138686131386862</v>
      </c>
      <c r="P63" s="30">
        <f t="shared" si="24"/>
        <v>0.15858208955223882</v>
      </c>
      <c r="Q63" s="30">
        <f t="shared" si="24"/>
        <v>7.6923076923076927E-2</v>
      </c>
    </row>
    <row r="64" spans="1:17" x14ac:dyDescent="0.15">
      <c r="A64" s="31" t="s">
        <v>78</v>
      </c>
      <c r="B64" s="31">
        <f>49/20</f>
        <v>2.4500000000000002</v>
      </c>
      <c r="C64" s="31">
        <f>83/25</f>
        <v>3.32</v>
      </c>
      <c r="D64" s="31">
        <f>121/100</f>
        <v>1.21</v>
      </c>
      <c r="E64" s="31">
        <f>6/5</f>
        <v>1.2</v>
      </c>
      <c r="F64" s="31">
        <f>669/50</f>
        <v>13.38</v>
      </c>
      <c r="G64" s="31">
        <f>21/50</f>
        <v>0.42</v>
      </c>
      <c r="H64" s="31">
        <f>447/50</f>
        <v>8.94</v>
      </c>
      <c r="I64" s="31">
        <f>63/50</f>
        <v>1.26</v>
      </c>
      <c r="J64" s="31">
        <f>2127/100</f>
        <v>21.27</v>
      </c>
      <c r="K64" s="31">
        <f>187/100</f>
        <v>1.87</v>
      </c>
      <c r="L64" s="31">
        <f>177/20</f>
        <v>8.85</v>
      </c>
      <c r="M64" s="31">
        <f>26/25</f>
        <v>1.04</v>
      </c>
      <c r="N64" s="31">
        <f>187/100</f>
        <v>1.87</v>
      </c>
      <c r="O64" s="31">
        <f>54/25</f>
        <v>2.16</v>
      </c>
      <c r="P64" s="31">
        <f>347/100</f>
        <v>3.47</v>
      </c>
      <c r="Q64" s="31">
        <f>26/25</f>
        <v>1.04</v>
      </c>
    </row>
    <row r="69" spans="1:17" x14ac:dyDescent="0.15">
      <c r="B69" s="23" t="s">
        <v>219</v>
      </c>
      <c r="C69" s="23" t="s">
        <v>220</v>
      </c>
      <c r="D69" s="23" t="s">
        <v>221</v>
      </c>
      <c r="E69" s="23" t="s">
        <v>222</v>
      </c>
      <c r="F69" s="23" t="s">
        <v>223</v>
      </c>
      <c r="G69" s="23" t="s">
        <v>224</v>
      </c>
      <c r="H69" s="23" t="s">
        <v>225</v>
      </c>
      <c r="I69" s="23" t="s">
        <v>226</v>
      </c>
      <c r="J69" s="23" t="s">
        <v>227</v>
      </c>
      <c r="K69" s="23" t="s">
        <v>228</v>
      </c>
      <c r="L69" s="23" t="s">
        <v>229</v>
      </c>
      <c r="M69" s="23" t="s">
        <v>230</v>
      </c>
      <c r="N69" s="23" t="s">
        <v>231</v>
      </c>
      <c r="O69" s="23" t="s">
        <v>232</v>
      </c>
      <c r="P69" s="23" t="s">
        <v>233</v>
      </c>
      <c r="Q69" s="23" t="s">
        <v>234</v>
      </c>
    </row>
    <row r="70" spans="1:17" x14ac:dyDescent="0.15">
      <c r="B70" s="23" t="s">
        <v>187</v>
      </c>
      <c r="C70" s="23" t="s">
        <v>188</v>
      </c>
      <c r="D70" s="23" t="s">
        <v>189</v>
      </c>
      <c r="E70" s="23" t="s">
        <v>190</v>
      </c>
      <c r="F70" s="23" t="s">
        <v>191</v>
      </c>
      <c r="G70" s="23" t="s">
        <v>192</v>
      </c>
      <c r="H70" s="23" t="s">
        <v>193</v>
      </c>
      <c r="I70" s="23" t="s">
        <v>194</v>
      </c>
      <c r="J70" s="23" t="s">
        <v>195</v>
      </c>
      <c r="K70" s="23" t="s">
        <v>196</v>
      </c>
      <c r="L70" s="23" t="s">
        <v>197</v>
      </c>
      <c r="M70" s="23" t="s">
        <v>198</v>
      </c>
      <c r="N70" s="23" t="s">
        <v>199</v>
      </c>
      <c r="O70" s="23" t="s">
        <v>200</v>
      </c>
      <c r="P70" s="23" t="s">
        <v>201</v>
      </c>
      <c r="Q70" s="23" t="s">
        <v>202</v>
      </c>
    </row>
    <row r="71" spans="1:17" x14ac:dyDescent="0.15">
      <c r="A71" s="27"/>
      <c r="B71" s="23" t="s">
        <v>203</v>
      </c>
      <c r="C71" s="23" t="s">
        <v>204</v>
      </c>
      <c r="D71" s="23" t="s">
        <v>205</v>
      </c>
      <c r="E71" s="23" t="s">
        <v>206</v>
      </c>
      <c r="F71" s="23" t="s">
        <v>207</v>
      </c>
      <c r="G71" s="23" t="s">
        <v>208</v>
      </c>
      <c r="H71" s="23" t="s">
        <v>209</v>
      </c>
      <c r="I71" s="23" t="s">
        <v>210</v>
      </c>
      <c r="J71" s="23" t="s">
        <v>211</v>
      </c>
      <c r="K71" s="23" t="s">
        <v>212</v>
      </c>
      <c r="L71" s="23" t="s">
        <v>213</v>
      </c>
      <c r="M71" s="23" t="s">
        <v>214</v>
      </c>
      <c r="N71" s="23" t="s">
        <v>215</v>
      </c>
      <c r="O71" s="23" t="s">
        <v>216</v>
      </c>
      <c r="P71" s="23" t="s">
        <v>217</v>
      </c>
      <c r="Q71" s="23" t="s">
        <v>218</v>
      </c>
    </row>
    <row r="72" spans="1:17" x14ac:dyDescent="0.15">
      <c r="A72" s="27" t="s">
        <v>236</v>
      </c>
      <c r="B72" s="23">
        <v>147</v>
      </c>
      <c r="C72" s="23">
        <v>26</v>
      </c>
      <c r="D72" s="23">
        <v>51</v>
      </c>
      <c r="E72" s="23">
        <v>162</v>
      </c>
      <c r="F72" s="23">
        <v>294</v>
      </c>
      <c r="G72" s="23">
        <v>39</v>
      </c>
      <c r="H72" s="23">
        <v>14</v>
      </c>
      <c r="I72" s="23">
        <v>14</v>
      </c>
      <c r="J72" s="23">
        <v>24</v>
      </c>
      <c r="K72" s="23">
        <v>11</v>
      </c>
      <c r="L72" s="23">
        <v>88</v>
      </c>
      <c r="M72" s="23">
        <v>38</v>
      </c>
      <c r="N72" s="23">
        <v>27</v>
      </c>
      <c r="O72" s="23">
        <v>18</v>
      </c>
      <c r="P72" s="23">
        <v>43</v>
      </c>
      <c r="Q72" s="23">
        <v>51</v>
      </c>
    </row>
    <row r="73" spans="1:17" x14ac:dyDescent="0.15">
      <c r="A73" s="30" t="s">
        <v>23</v>
      </c>
      <c r="B73" s="30" t="s">
        <v>24</v>
      </c>
      <c r="C73" s="30" t="s">
        <v>123</v>
      </c>
      <c r="D73" s="30" t="s">
        <v>24</v>
      </c>
      <c r="E73" s="30" t="s">
        <v>24</v>
      </c>
      <c r="F73" s="30" t="s">
        <v>24</v>
      </c>
      <c r="G73" s="30" t="s">
        <v>24</v>
      </c>
      <c r="H73" s="30" t="s">
        <v>24</v>
      </c>
      <c r="I73" s="30" t="s">
        <v>24</v>
      </c>
      <c r="J73" s="30" t="s">
        <v>123</v>
      </c>
      <c r="K73" s="30" t="s">
        <v>24</v>
      </c>
      <c r="L73" s="30" t="s">
        <v>24</v>
      </c>
      <c r="M73" s="30" t="s">
        <v>24</v>
      </c>
      <c r="N73" s="30" t="s">
        <v>24</v>
      </c>
      <c r="O73" s="30" t="s">
        <v>24</v>
      </c>
      <c r="P73" s="30" t="s">
        <v>24</v>
      </c>
      <c r="Q73" s="30" t="s">
        <v>123</v>
      </c>
    </row>
    <row r="74" spans="1:17" x14ac:dyDescent="0.15">
      <c r="A74" s="30" t="s">
        <v>52</v>
      </c>
      <c r="B74" s="30">
        <f>[157]MF_1_stat_stem_AT_GC_freq_10!B2</f>
        <v>375</v>
      </c>
      <c r="C74" s="30">
        <f>[158]MF_2_stat_stem_AT_GC_freq_10!B2</f>
        <v>49</v>
      </c>
      <c r="D74" s="30">
        <f>[159]MF_3_stat_stem_AT_GC_freq_10!B2</f>
        <v>150</v>
      </c>
      <c r="E74" s="30">
        <f>[160]MF_4_stat_stem_AT_GC_freq_10!B2</f>
        <v>532</v>
      </c>
      <c r="F74" s="30">
        <f>[161]MF_5_stat_stem_AT_GC_freq_10!B2</f>
        <v>828</v>
      </c>
      <c r="G74" s="30">
        <f>[162]MF_6_stat_stem_AT_GC_freq_10!B2</f>
        <v>78</v>
      </c>
      <c r="H74" s="30">
        <f>[163]MF_7_stat_stem_AT_GC_freq_10!B2</f>
        <v>20</v>
      </c>
      <c r="I74" s="30">
        <f>[164]MF_8_stat_stem_AT_GC_freq_10!B2</f>
        <v>18</v>
      </c>
      <c r="J74" s="30">
        <f>[165]MF_9_stat_stem_AT_GC_freq_10!B2</f>
        <v>99</v>
      </c>
      <c r="K74" s="30">
        <f>[166]MF_10_stat_stem_AT_GC_freq_10!B2</f>
        <v>19</v>
      </c>
      <c r="L74" s="30">
        <f>[167]MF_11_stat_stem_AT_GC_freq_10!B2</f>
        <v>278</v>
      </c>
      <c r="M74" s="30">
        <f>[168]MF_12_stat_stem_AT_GC_freq_10!B2</f>
        <v>141</v>
      </c>
      <c r="N74" s="30">
        <f>[169]MF_13_stat_stem_AT_GC_freq_10!B2</f>
        <v>69</v>
      </c>
      <c r="O74" s="30">
        <f>[170]MF_14_stat_stem_AT_GC_freq_10!B2</f>
        <v>81</v>
      </c>
      <c r="P74" s="30">
        <f>[171]MF_15_stat_stem_AT_GC_freq_10!B2</f>
        <v>100</v>
      </c>
      <c r="Q74" s="30">
        <f>[172]MF_16_stat_stem_AT_GC_freq_10!B2</f>
        <v>116</v>
      </c>
    </row>
    <row r="75" spans="1:17" x14ac:dyDescent="0.15">
      <c r="A75" s="30" t="s">
        <v>38</v>
      </c>
      <c r="B75" s="30">
        <f>[157]MF_1_stat_stem_AT_GC_freq_10!B3</f>
        <v>58</v>
      </c>
      <c r="C75" s="30">
        <f>[158]MF_2_stat_stem_AT_GC_freq_10!B3</f>
        <v>3</v>
      </c>
      <c r="D75" s="30">
        <f>[159]MF_3_stat_stem_AT_GC_freq_10!B3</f>
        <v>23</v>
      </c>
      <c r="E75" s="30">
        <f>[160]MF_4_stat_stem_AT_GC_freq_10!B3</f>
        <v>82</v>
      </c>
      <c r="F75" s="30">
        <f>[161]MF_5_stat_stem_AT_GC_freq_10!B3</f>
        <v>142</v>
      </c>
      <c r="G75" s="30">
        <f>[162]MF_6_stat_stem_AT_GC_freq_10!B3</f>
        <v>12</v>
      </c>
      <c r="H75" s="30">
        <f>[163]MF_7_stat_stem_AT_GC_freq_10!B3</f>
        <v>4</v>
      </c>
      <c r="I75" s="30">
        <f>[164]MF_8_stat_stem_AT_GC_freq_10!B3</f>
        <v>2</v>
      </c>
      <c r="J75" s="30">
        <f>[165]MF_9_stat_stem_AT_GC_freq_10!B3</f>
        <v>11</v>
      </c>
      <c r="K75" s="30">
        <f>[166]MF_10_stat_stem_AT_GC_freq_10!B3</f>
        <v>4</v>
      </c>
      <c r="L75" s="30">
        <f>[167]MF_11_stat_stem_AT_GC_freq_10!B3</f>
        <v>47</v>
      </c>
      <c r="M75" s="30">
        <f>[168]MF_12_stat_stem_AT_GC_freq_10!B3</f>
        <v>16</v>
      </c>
      <c r="N75" s="30">
        <f>[169]MF_13_stat_stem_AT_GC_freq_10!B3</f>
        <v>14</v>
      </c>
      <c r="O75" s="30">
        <f>[170]MF_14_stat_stem_AT_GC_freq_10!B3</f>
        <v>15</v>
      </c>
      <c r="P75" s="30">
        <f>[171]MF_15_stat_stem_AT_GC_freq_10!B3</f>
        <v>18</v>
      </c>
      <c r="Q75" s="30">
        <f>[172]MF_16_stat_stem_AT_GC_freq_10!B3</f>
        <v>28</v>
      </c>
    </row>
    <row r="76" spans="1:17" x14ac:dyDescent="0.15">
      <c r="A76" s="30" t="s">
        <v>53</v>
      </c>
      <c r="B76" s="30">
        <f>[157]MF_1_stat_stem_AT_GC_freq_10!B4</f>
        <v>36</v>
      </c>
      <c r="C76" s="30">
        <f>[158]MF_2_stat_stem_AT_GC_freq_10!B4</f>
        <v>8</v>
      </c>
      <c r="D76" s="30">
        <f>[159]MF_3_stat_stem_AT_GC_freq_10!B4</f>
        <v>15</v>
      </c>
      <c r="E76" s="30">
        <f>[160]MF_4_stat_stem_AT_GC_freq_10!B4</f>
        <v>38</v>
      </c>
      <c r="F76" s="30">
        <f>[161]MF_5_stat_stem_AT_GC_freq_10!B4</f>
        <v>86</v>
      </c>
      <c r="G76" s="30">
        <f>[162]MF_6_stat_stem_AT_GC_freq_10!B4</f>
        <v>7</v>
      </c>
      <c r="H76" s="30">
        <f>[163]MF_7_stat_stem_AT_GC_freq_10!B4</f>
        <v>1</v>
      </c>
      <c r="I76" s="30">
        <f>[164]MF_8_stat_stem_AT_GC_freq_10!B4</f>
        <v>4</v>
      </c>
      <c r="J76" s="30">
        <f>[165]MF_9_stat_stem_AT_GC_freq_10!B4</f>
        <v>7</v>
      </c>
      <c r="K76" s="30">
        <f>[166]MF_10_stat_stem_AT_GC_freq_10!B4</f>
        <v>1</v>
      </c>
      <c r="L76" s="30">
        <f>[167]MF_11_stat_stem_AT_GC_freq_10!B4</f>
        <v>43</v>
      </c>
      <c r="M76" s="30">
        <f>[168]MF_12_stat_stem_AT_GC_freq_10!B4</f>
        <v>13</v>
      </c>
      <c r="N76" s="30">
        <f>[169]MF_13_stat_stem_AT_GC_freq_10!B4</f>
        <v>3</v>
      </c>
      <c r="O76" s="30">
        <f>[170]MF_14_stat_stem_AT_GC_freq_10!B4</f>
        <v>8</v>
      </c>
      <c r="P76" s="30">
        <f>[171]MF_15_stat_stem_AT_GC_freq_10!B4</f>
        <v>21</v>
      </c>
      <c r="Q76" s="30">
        <f>[172]MF_16_stat_stem_AT_GC_freq_10!B4</f>
        <v>12</v>
      </c>
    </row>
    <row r="77" spans="1:17" x14ac:dyDescent="0.15">
      <c r="A77" s="30" t="s">
        <v>54</v>
      </c>
      <c r="B77" s="30">
        <f>[157]MF_1_stat_stem_AT_GC_freq_10!B5</f>
        <v>32</v>
      </c>
      <c r="C77" s="30">
        <f>[158]MF_2_stat_stem_AT_GC_freq_10!B5</f>
        <v>3</v>
      </c>
      <c r="D77" s="30">
        <f>[159]MF_3_stat_stem_AT_GC_freq_10!B5</f>
        <v>11</v>
      </c>
      <c r="E77" s="30">
        <f>[160]MF_4_stat_stem_AT_GC_freq_10!B5</f>
        <v>44</v>
      </c>
      <c r="F77" s="30">
        <f>[161]MF_5_stat_stem_AT_GC_freq_10!B5</f>
        <v>69</v>
      </c>
      <c r="G77" s="30">
        <f>[162]MF_6_stat_stem_AT_GC_freq_10!B5</f>
        <v>4</v>
      </c>
      <c r="H77" s="30">
        <f>[163]MF_7_stat_stem_AT_GC_freq_10!B5</f>
        <v>3</v>
      </c>
      <c r="I77" s="30">
        <f>[164]MF_8_stat_stem_AT_GC_freq_10!B5</f>
        <v>1</v>
      </c>
      <c r="J77" s="30">
        <f>[165]MF_9_stat_stem_AT_GC_freq_10!B5</f>
        <v>8</v>
      </c>
      <c r="K77" s="30">
        <f>[166]MF_10_stat_stem_AT_GC_freq_10!B5</f>
        <v>1</v>
      </c>
      <c r="L77" s="30">
        <f>[167]MF_11_stat_stem_AT_GC_freq_10!B5</f>
        <v>20</v>
      </c>
      <c r="M77" s="30">
        <f>[168]MF_12_stat_stem_AT_GC_freq_10!B5</f>
        <v>14</v>
      </c>
      <c r="N77" s="30">
        <f>[169]MF_13_stat_stem_AT_GC_freq_10!B5</f>
        <v>10</v>
      </c>
      <c r="O77" s="30">
        <f>[170]MF_14_stat_stem_AT_GC_freq_10!B5</f>
        <v>4</v>
      </c>
      <c r="P77" s="30">
        <f>[171]MF_15_stat_stem_AT_GC_freq_10!B5</f>
        <v>9</v>
      </c>
      <c r="Q77" s="30">
        <f>[172]MF_16_stat_stem_AT_GC_freq_10!B5</f>
        <v>6</v>
      </c>
    </row>
    <row r="78" spans="1:17" x14ac:dyDescent="0.15">
      <c r="A78" s="30" t="s">
        <v>55</v>
      </c>
      <c r="B78" s="30">
        <f>[157]MF_1_stat_stem_AT_GC_freq_10!B6</f>
        <v>26</v>
      </c>
      <c r="C78" s="30">
        <f>[158]MF_2_stat_stem_AT_GC_freq_10!B6</f>
        <v>4</v>
      </c>
      <c r="D78" s="30">
        <f>[159]MF_3_stat_stem_AT_GC_freq_10!B6</f>
        <v>11</v>
      </c>
      <c r="E78" s="30">
        <f>[160]MF_4_stat_stem_AT_GC_freq_10!B6</f>
        <v>39</v>
      </c>
      <c r="F78" s="30">
        <f>[161]MF_5_stat_stem_AT_GC_freq_10!B6</f>
        <v>81</v>
      </c>
      <c r="G78" s="30">
        <f>[162]MF_6_stat_stem_AT_GC_freq_10!B6</f>
        <v>6</v>
      </c>
      <c r="H78" s="30">
        <f>[163]MF_7_stat_stem_AT_GC_freq_10!B6</f>
        <v>2</v>
      </c>
      <c r="I78" s="30">
        <f>[164]MF_8_stat_stem_AT_GC_freq_10!B6</f>
        <v>3</v>
      </c>
      <c r="J78" s="30">
        <f>[165]MF_9_stat_stem_AT_GC_freq_10!B6</f>
        <v>9</v>
      </c>
      <c r="K78" s="30">
        <f>[166]MF_10_stat_stem_AT_GC_freq_10!B6</f>
        <v>0</v>
      </c>
      <c r="L78" s="30">
        <f>[167]MF_11_stat_stem_AT_GC_freq_10!B6</f>
        <v>23</v>
      </c>
      <c r="M78" s="30">
        <f>[168]MF_12_stat_stem_AT_GC_freq_10!B6</f>
        <v>12</v>
      </c>
      <c r="N78" s="30">
        <f>[169]MF_13_stat_stem_AT_GC_freq_10!B6</f>
        <v>4</v>
      </c>
      <c r="O78" s="30">
        <f>[170]MF_14_stat_stem_AT_GC_freq_10!B6</f>
        <v>6</v>
      </c>
      <c r="P78" s="30">
        <f>[171]MF_15_stat_stem_AT_GC_freq_10!B6</f>
        <v>7</v>
      </c>
      <c r="Q78" s="30">
        <f>[172]MF_16_stat_stem_AT_GC_freq_10!B6</f>
        <v>4</v>
      </c>
    </row>
    <row r="79" spans="1:17" x14ac:dyDescent="0.15">
      <c r="A79" s="30" t="s">
        <v>56</v>
      </c>
      <c r="B79" s="30">
        <f>[157]MF_1_stat_stem_AT_GC_freq_10!B7</f>
        <v>34</v>
      </c>
      <c r="C79" s="30">
        <f>[158]MF_2_stat_stem_AT_GC_freq_10!B7</f>
        <v>5</v>
      </c>
      <c r="D79" s="30">
        <f>[159]MF_3_stat_stem_AT_GC_freq_10!B7</f>
        <v>8</v>
      </c>
      <c r="E79" s="30">
        <f>[160]MF_4_stat_stem_AT_GC_freq_10!B7</f>
        <v>34</v>
      </c>
      <c r="F79" s="30">
        <f>[161]MF_5_stat_stem_AT_GC_freq_10!B7</f>
        <v>75</v>
      </c>
      <c r="G79" s="30">
        <f>[162]MF_6_stat_stem_AT_GC_freq_10!B7</f>
        <v>7</v>
      </c>
      <c r="H79" s="30">
        <f>[163]MF_7_stat_stem_AT_GC_freq_10!B7</f>
        <v>1</v>
      </c>
      <c r="I79" s="30">
        <f>[164]MF_8_stat_stem_AT_GC_freq_10!B7</f>
        <v>3</v>
      </c>
      <c r="J79" s="30">
        <f>[165]MF_9_stat_stem_AT_GC_freq_10!B7</f>
        <v>9</v>
      </c>
      <c r="K79" s="30">
        <f>[166]MF_10_stat_stem_AT_GC_freq_10!B7</f>
        <v>6</v>
      </c>
      <c r="L79" s="30">
        <f>[167]MF_11_stat_stem_AT_GC_freq_10!B7</f>
        <v>20</v>
      </c>
      <c r="M79" s="30">
        <f>[168]MF_12_stat_stem_AT_GC_freq_10!B7</f>
        <v>16</v>
      </c>
      <c r="N79" s="30">
        <f>[169]MF_13_stat_stem_AT_GC_freq_10!B7</f>
        <v>4</v>
      </c>
      <c r="O79" s="30">
        <f>[170]MF_14_stat_stem_AT_GC_freq_10!B7</f>
        <v>6</v>
      </c>
      <c r="P79" s="30">
        <f>[171]MF_15_stat_stem_AT_GC_freq_10!B7</f>
        <v>7</v>
      </c>
      <c r="Q79" s="30">
        <f>[172]MF_16_stat_stem_AT_GC_freq_10!B7</f>
        <v>11</v>
      </c>
    </row>
    <row r="80" spans="1:17" x14ac:dyDescent="0.15">
      <c r="A80" s="30" t="s">
        <v>57</v>
      </c>
      <c r="B80" s="30">
        <f>[157]MF_1_stat_stem_AT_GC_freq_10!B8</f>
        <v>25</v>
      </c>
      <c r="C80" s="30">
        <f>[158]MF_2_stat_stem_AT_GC_freq_10!B8</f>
        <v>2</v>
      </c>
      <c r="D80" s="30">
        <f>[159]MF_3_stat_stem_AT_GC_freq_10!B8</f>
        <v>9</v>
      </c>
      <c r="E80" s="30">
        <f>[160]MF_4_stat_stem_AT_GC_freq_10!B8</f>
        <v>27</v>
      </c>
      <c r="F80" s="30">
        <f>[161]MF_5_stat_stem_AT_GC_freq_10!B8</f>
        <v>45</v>
      </c>
      <c r="G80" s="30">
        <f>[162]MF_6_stat_stem_AT_GC_freq_10!B8</f>
        <v>5</v>
      </c>
      <c r="H80" s="30">
        <f>[163]MF_7_stat_stem_AT_GC_freq_10!B8</f>
        <v>1</v>
      </c>
      <c r="I80" s="30">
        <f>[164]MF_8_stat_stem_AT_GC_freq_10!B8</f>
        <v>0</v>
      </c>
      <c r="J80" s="30">
        <f>[165]MF_9_stat_stem_AT_GC_freq_10!B8</f>
        <v>7</v>
      </c>
      <c r="K80" s="30">
        <f>[166]MF_10_stat_stem_AT_GC_freq_10!B8</f>
        <v>2</v>
      </c>
      <c r="L80" s="30">
        <f>[167]MF_11_stat_stem_AT_GC_freq_10!B8</f>
        <v>19</v>
      </c>
      <c r="M80" s="30">
        <f>[168]MF_12_stat_stem_AT_GC_freq_10!B8</f>
        <v>8</v>
      </c>
      <c r="N80" s="30">
        <f>[169]MF_13_stat_stem_AT_GC_freq_10!B8</f>
        <v>7</v>
      </c>
      <c r="O80" s="30">
        <f>[170]MF_14_stat_stem_AT_GC_freq_10!B8</f>
        <v>5</v>
      </c>
      <c r="P80" s="30">
        <f>[171]MF_15_stat_stem_AT_GC_freq_10!B8</f>
        <v>2</v>
      </c>
      <c r="Q80" s="30">
        <f>[172]MF_16_stat_stem_AT_GC_freq_10!B8</f>
        <v>9</v>
      </c>
    </row>
    <row r="81" spans="1:17" x14ac:dyDescent="0.15">
      <c r="A81" s="30" t="s">
        <v>58</v>
      </c>
      <c r="B81" s="30">
        <f>[157]MF_1_stat_stem_AT_GC_freq_10!B9</f>
        <v>22</v>
      </c>
      <c r="C81" s="30">
        <f>[158]MF_2_stat_stem_AT_GC_freq_10!B9</f>
        <v>3</v>
      </c>
      <c r="D81" s="30">
        <f>[159]MF_3_stat_stem_AT_GC_freq_10!B9</f>
        <v>9</v>
      </c>
      <c r="E81" s="30">
        <f>[160]MF_4_stat_stem_AT_GC_freq_10!B9</f>
        <v>25</v>
      </c>
      <c r="F81" s="30">
        <f>[161]MF_5_stat_stem_AT_GC_freq_10!B9</f>
        <v>47</v>
      </c>
      <c r="G81" s="30">
        <f>[162]MF_6_stat_stem_AT_GC_freq_10!B9</f>
        <v>6</v>
      </c>
      <c r="H81" s="30">
        <f>[163]MF_7_stat_stem_AT_GC_freq_10!B9</f>
        <v>0</v>
      </c>
      <c r="I81" s="30">
        <f>[164]MF_8_stat_stem_AT_GC_freq_10!B9</f>
        <v>2</v>
      </c>
      <c r="J81" s="30">
        <f>[165]MF_9_stat_stem_AT_GC_freq_10!B9</f>
        <v>8</v>
      </c>
      <c r="K81" s="30">
        <f>[166]MF_10_stat_stem_AT_GC_freq_10!B9</f>
        <v>2</v>
      </c>
      <c r="L81" s="30">
        <f>[167]MF_11_stat_stem_AT_GC_freq_10!B9</f>
        <v>20</v>
      </c>
      <c r="M81" s="30">
        <f>[168]MF_12_stat_stem_AT_GC_freq_10!B9</f>
        <v>11</v>
      </c>
      <c r="N81" s="30">
        <f>[169]MF_13_stat_stem_AT_GC_freq_10!B9</f>
        <v>3</v>
      </c>
      <c r="O81" s="30">
        <f>[170]MF_14_stat_stem_AT_GC_freq_10!B9</f>
        <v>7</v>
      </c>
      <c r="P81" s="30">
        <f>[171]MF_15_stat_stem_AT_GC_freq_10!B9</f>
        <v>2</v>
      </c>
      <c r="Q81" s="30">
        <f>[172]MF_16_stat_stem_AT_GC_freq_10!B9</f>
        <v>8</v>
      </c>
    </row>
    <row r="82" spans="1:17" x14ac:dyDescent="0.15">
      <c r="A82" s="30" t="s">
        <v>59</v>
      </c>
      <c r="B82" s="30">
        <f>[157]MF_1_stat_stem_AT_GC_freq_10!B10</f>
        <v>31</v>
      </c>
      <c r="C82" s="30">
        <f>[158]MF_2_stat_stem_AT_GC_freq_10!B10</f>
        <v>6</v>
      </c>
      <c r="D82" s="30">
        <f>[159]MF_3_stat_stem_AT_GC_freq_10!B10</f>
        <v>20</v>
      </c>
      <c r="E82" s="30">
        <f>[160]MF_4_stat_stem_AT_GC_freq_10!B10</f>
        <v>54</v>
      </c>
      <c r="F82" s="30">
        <f>[161]MF_5_stat_stem_AT_GC_freq_10!B10</f>
        <v>83</v>
      </c>
      <c r="G82" s="30">
        <f>[162]MF_6_stat_stem_AT_GC_freq_10!B10</f>
        <v>2</v>
      </c>
      <c r="H82" s="30">
        <f>[163]MF_7_stat_stem_AT_GC_freq_10!B10</f>
        <v>4</v>
      </c>
      <c r="I82" s="30">
        <f>[164]MF_8_stat_stem_AT_GC_freq_10!B10</f>
        <v>1</v>
      </c>
      <c r="J82" s="30">
        <f>[165]MF_9_stat_stem_AT_GC_freq_10!B10</f>
        <v>5</v>
      </c>
      <c r="K82" s="30">
        <f>[166]MF_10_stat_stem_AT_GC_freq_10!B10</f>
        <v>5</v>
      </c>
      <c r="L82" s="30">
        <f>[167]MF_11_stat_stem_AT_GC_freq_10!B10</f>
        <v>30</v>
      </c>
      <c r="M82" s="30">
        <f>[168]MF_12_stat_stem_AT_GC_freq_10!B10</f>
        <v>14</v>
      </c>
      <c r="N82" s="30">
        <f>[169]MF_13_stat_stem_AT_GC_freq_10!B10</f>
        <v>6</v>
      </c>
      <c r="O82" s="30">
        <f>[170]MF_14_stat_stem_AT_GC_freq_10!B10</f>
        <v>8</v>
      </c>
      <c r="P82" s="30">
        <f>[171]MF_15_stat_stem_AT_GC_freq_10!B10</f>
        <v>2</v>
      </c>
      <c r="Q82" s="30">
        <f>[172]MF_16_stat_stem_AT_GC_freq_10!B10</f>
        <v>12</v>
      </c>
    </row>
    <row r="83" spans="1:17" x14ac:dyDescent="0.15">
      <c r="A83" s="30" t="s">
        <v>60</v>
      </c>
      <c r="B83" s="30">
        <f>[157]MF_1_stat_stem_AT_GC_freq_10!B11</f>
        <v>108</v>
      </c>
      <c r="C83" s="30">
        <f>[158]MF_2_stat_stem_AT_GC_freq_10!B11</f>
        <v>15</v>
      </c>
      <c r="D83" s="30">
        <f>[159]MF_3_stat_stem_AT_GC_freq_10!B11</f>
        <v>45</v>
      </c>
      <c r="E83" s="30">
        <f>[160]MF_4_stat_stem_AT_GC_freq_10!B11</f>
        <v>130</v>
      </c>
      <c r="F83" s="30">
        <f>[161]MF_5_stat_stem_AT_GC_freq_10!B11</f>
        <v>231</v>
      </c>
      <c r="G83" s="30">
        <f>[162]MF_6_stat_stem_AT_GC_freq_10!B11</f>
        <v>19</v>
      </c>
      <c r="H83" s="30">
        <f>[163]MF_7_stat_stem_AT_GC_freq_10!B11</f>
        <v>7</v>
      </c>
      <c r="I83" s="30">
        <f>[164]MF_8_stat_stem_AT_GC_freq_10!B11</f>
        <v>8</v>
      </c>
      <c r="J83" s="30">
        <f>[165]MF_9_stat_stem_AT_GC_freq_10!B11</f>
        <v>36</v>
      </c>
      <c r="K83" s="30">
        <f>[166]MF_10_stat_stem_AT_GC_freq_10!B11</f>
        <v>9</v>
      </c>
      <c r="L83" s="30">
        <f>[167]MF_11_stat_stem_AT_GC_freq_10!B11</f>
        <v>77</v>
      </c>
      <c r="M83" s="30">
        <f>[168]MF_12_stat_stem_AT_GC_freq_10!B11</f>
        <v>33</v>
      </c>
      <c r="N83" s="30">
        <f>[169]MF_13_stat_stem_AT_GC_freq_10!B11</f>
        <v>19</v>
      </c>
      <c r="O83" s="30">
        <f>[170]MF_14_stat_stem_AT_GC_freq_10!B11</f>
        <v>28</v>
      </c>
      <c r="P83" s="30">
        <f>[171]MF_15_stat_stem_AT_GC_freq_10!B11</f>
        <v>44</v>
      </c>
      <c r="Q83" s="30">
        <f>[172]MF_16_stat_stem_AT_GC_freq_10!B11</f>
        <v>28</v>
      </c>
    </row>
    <row r="84" spans="1:17" x14ac:dyDescent="0.15">
      <c r="A84" s="30" t="s">
        <v>61</v>
      </c>
      <c r="B84" s="30">
        <f t="shared" ref="B84:Q84" si="25">SUM(B74:B83)</f>
        <v>747</v>
      </c>
      <c r="C84" s="30">
        <f t="shared" si="25"/>
        <v>98</v>
      </c>
      <c r="D84" s="30">
        <f t="shared" si="25"/>
        <v>301</v>
      </c>
      <c r="E84" s="30">
        <f t="shared" si="25"/>
        <v>1005</v>
      </c>
      <c r="F84" s="30">
        <f t="shared" si="25"/>
        <v>1687</v>
      </c>
      <c r="G84" s="30">
        <f t="shared" si="25"/>
        <v>146</v>
      </c>
      <c r="H84" s="30">
        <f t="shared" si="25"/>
        <v>43</v>
      </c>
      <c r="I84" s="30">
        <f t="shared" si="25"/>
        <v>42</v>
      </c>
      <c r="J84" s="30">
        <f t="shared" si="25"/>
        <v>199</v>
      </c>
      <c r="K84" s="30">
        <f t="shared" si="25"/>
        <v>49</v>
      </c>
      <c r="L84" s="30">
        <f t="shared" si="25"/>
        <v>577</v>
      </c>
      <c r="M84" s="30">
        <f t="shared" si="25"/>
        <v>278</v>
      </c>
      <c r="N84" s="30">
        <f t="shared" si="25"/>
        <v>139</v>
      </c>
      <c r="O84" s="30">
        <f t="shared" si="25"/>
        <v>168</v>
      </c>
      <c r="P84" s="30">
        <f t="shared" si="25"/>
        <v>212</v>
      </c>
      <c r="Q84" s="30">
        <f t="shared" si="25"/>
        <v>234</v>
      </c>
    </row>
    <row r="85" spans="1:17" x14ac:dyDescent="0.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spans="1:17" x14ac:dyDescent="0.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spans="1:17" x14ac:dyDescent="0.15">
      <c r="A87" s="30" t="s">
        <v>23</v>
      </c>
      <c r="B87" s="30" t="s">
        <v>24</v>
      </c>
      <c r="C87" s="30" t="s">
        <v>24</v>
      </c>
      <c r="D87" s="30" t="s">
        <v>24</v>
      </c>
      <c r="E87" s="30" t="s">
        <v>24</v>
      </c>
      <c r="F87" s="30" t="s">
        <v>24</v>
      </c>
      <c r="G87" s="30" t="s">
        <v>24</v>
      </c>
      <c r="H87" s="30" t="s">
        <v>24</v>
      </c>
      <c r="I87" s="30" t="s">
        <v>24</v>
      </c>
      <c r="J87" s="30" t="s">
        <v>24</v>
      </c>
      <c r="K87" s="30" t="s">
        <v>24</v>
      </c>
      <c r="L87" s="30" t="s">
        <v>24</v>
      </c>
      <c r="M87" s="30" t="s">
        <v>24</v>
      </c>
      <c r="N87" s="30" t="s">
        <v>24</v>
      </c>
      <c r="O87" s="30" t="s">
        <v>24</v>
      </c>
      <c r="P87" s="30" t="s">
        <v>24</v>
      </c>
      <c r="Q87" s="30" t="s">
        <v>24</v>
      </c>
    </row>
    <row r="88" spans="1:17" x14ac:dyDescent="0.15">
      <c r="A88" s="30" t="s">
        <v>52</v>
      </c>
      <c r="B88" s="30">
        <f>B74/B$84</f>
        <v>0.50200803212851408</v>
      </c>
      <c r="C88" s="30">
        <f t="shared" ref="C88:Q88" si="26">C74/C$84</f>
        <v>0.5</v>
      </c>
      <c r="D88" s="30">
        <f t="shared" si="26"/>
        <v>0.49833887043189368</v>
      </c>
      <c r="E88" s="30">
        <f t="shared" si="26"/>
        <v>0.52935323383084576</v>
      </c>
      <c r="F88" s="30">
        <f t="shared" si="26"/>
        <v>0.49081209247184349</v>
      </c>
      <c r="G88" s="30">
        <f t="shared" si="26"/>
        <v>0.53424657534246578</v>
      </c>
      <c r="H88" s="30">
        <f t="shared" si="26"/>
        <v>0.46511627906976744</v>
      </c>
      <c r="I88" s="30">
        <f t="shared" si="26"/>
        <v>0.42857142857142855</v>
      </c>
      <c r="J88" s="30">
        <f t="shared" si="26"/>
        <v>0.49748743718592964</v>
      </c>
      <c r="K88" s="30">
        <f t="shared" si="26"/>
        <v>0.38775510204081631</v>
      </c>
      <c r="L88" s="30">
        <f t="shared" si="26"/>
        <v>0.48180242634315423</v>
      </c>
      <c r="M88" s="30">
        <f t="shared" si="26"/>
        <v>0.5071942446043165</v>
      </c>
      <c r="N88" s="30">
        <f t="shared" si="26"/>
        <v>0.49640287769784175</v>
      </c>
      <c r="O88" s="30">
        <f t="shared" si="26"/>
        <v>0.48214285714285715</v>
      </c>
      <c r="P88" s="30">
        <f t="shared" si="26"/>
        <v>0.47169811320754718</v>
      </c>
      <c r="Q88" s="30">
        <f t="shared" si="26"/>
        <v>0.49572649572649574</v>
      </c>
    </row>
    <row r="89" spans="1:17" x14ac:dyDescent="0.15">
      <c r="A89" s="30" t="s">
        <v>38</v>
      </c>
      <c r="B89" s="30">
        <f t="shared" ref="B89:Q97" si="27">B75/B$84</f>
        <v>7.7643908969210168E-2</v>
      </c>
      <c r="C89" s="30">
        <f t="shared" si="27"/>
        <v>3.0612244897959183E-2</v>
      </c>
      <c r="D89" s="30">
        <f t="shared" si="27"/>
        <v>7.6411960132890366E-2</v>
      </c>
      <c r="E89" s="30">
        <f t="shared" si="27"/>
        <v>8.1592039800995025E-2</v>
      </c>
      <c r="F89" s="30">
        <f t="shared" si="27"/>
        <v>8.4173088322465922E-2</v>
      </c>
      <c r="G89" s="30">
        <f t="shared" si="27"/>
        <v>8.2191780821917804E-2</v>
      </c>
      <c r="H89" s="30">
        <f t="shared" si="27"/>
        <v>9.3023255813953487E-2</v>
      </c>
      <c r="I89" s="30">
        <f t="shared" si="27"/>
        <v>4.7619047619047616E-2</v>
      </c>
      <c r="J89" s="30">
        <f t="shared" si="27"/>
        <v>5.5276381909547742E-2</v>
      </c>
      <c r="K89" s="30">
        <f t="shared" si="27"/>
        <v>8.1632653061224483E-2</v>
      </c>
      <c r="L89" s="30">
        <f t="shared" si="27"/>
        <v>8.1455805892547667E-2</v>
      </c>
      <c r="M89" s="30">
        <f t="shared" si="27"/>
        <v>5.7553956834532377E-2</v>
      </c>
      <c r="N89" s="30">
        <f t="shared" si="27"/>
        <v>0.10071942446043165</v>
      </c>
      <c r="O89" s="30">
        <f t="shared" si="27"/>
        <v>8.9285714285714288E-2</v>
      </c>
      <c r="P89" s="30">
        <f t="shared" si="27"/>
        <v>8.4905660377358486E-2</v>
      </c>
      <c r="Q89" s="30">
        <f t="shared" si="27"/>
        <v>0.11965811965811966</v>
      </c>
    </row>
    <row r="90" spans="1:17" x14ac:dyDescent="0.15">
      <c r="A90" s="30" t="s">
        <v>53</v>
      </c>
      <c r="B90" s="30">
        <f t="shared" si="27"/>
        <v>4.8192771084337352E-2</v>
      </c>
      <c r="C90" s="30">
        <f t="shared" si="27"/>
        <v>8.1632653061224483E-2</v>
      </c>
      <c r="D90" s="30">
        <f t="shared" si="27"/>
        <v>4.9833887043189369E-2</v>
      </c>
      <c r="E90" s="30">
        <f t="shared" si="27"/>
        <v>3.7810945273631838E-2</v>
      </c>
      <c r="F90" s="30">
        <f t="shared" si="27"/>
        <v>5.0978067575577948E-2</v>
      </c>
      <c r="G90" s="30">
        <f t="shared" si="27"/>
        <v>4.7945205479452052E-2</v>
      </c>
      <c r="H90" s="30">
        <f t="shared" si="27"/>
        <v>2.3255813953488372E-2</v>
      </c>
      <c r="I90" s="30">
        <f t="shared" si="27"/>
        <v>9.5238095238095233E-2</v>
      </c>
      <c r="J90" s="30">
        <f t="shared" si="27"/>
        <v>3.5175879396984924E-2</v>
      </c>
      <c r="K90" s="30">
        <f t="shared" si="27"/>
        <v>2.0408163265306121E-2</v>
      </c>
      <c r="L90" s="30">
        <f t="shared" si="27"/>
        <v>7.452339688041594E-2</v>
      </c>
      <c r="M90" s="30">
        <f t="shared" si="27"/>
        <v>4.6762589928057555E-2</v>
      </c>
      <c r="N90" s="30">
        <f t="shared" si="27"/>
        <v>2.1582733812949641E-2</v>
      </c>
      <c r="O90" s="30">
        <f t="shared" si="27"/>
        <v>4.7619047619047616E-2</v>
      </c>
      <c r="P90" s="30">
        <f t="shared" si="27"/>
        <v>9.9056603773584911E-2</v>
      </c>
      <c r="Q90" s="30">
        <f t="shared" si="27"/>
        <v>5.128205128205128E-2</v>
      </c>
    </row>
    <row r="91" spans="1:17" x14ac:dyDescent="0.15">
      <c r="A91" s="30" t="s">
        <v>54</v>
      </c>
      <c r="B91" s="30">
        <f t="shared" si="27"/>
        <v>4.2838018741633198E-2</v>
      </c>
      <c r="C91" s="30">
        <f t="shared" si="27"/>
        <v>3.0612244897959183E-2</v>
      </c>
      <c r="D91" s="30">
        <f t="shared" si="27"/>
        <v>3.6544850498338874E-2</v>
      </c>
      <c r="E91" s="30">
        <f t="shared" si="27"/>
        <v>4.3781094527363187E-2</v>
      </c>
      <c r="F91" s="30">
        <f t="shared" si="27"/>
        <v>4.090100770598696E-2</v>
      </c>
      <c r="G91" s="30">
        <f t="shared" si="27"/>
        <v>2.7397260273972601E-2</v>
      </c>
      <c r="H91" s="30">
        <f t="shared" si="27"/>
        <v>6.9767441860465115E-2</v>
      </c>
      <c r="I91" s="30">
        <f t="shared" si="27"/>
        <v>2.3809523809523808E-2</v>
      </c>
      <c r="J91" s="30">
        <f t="shared" si="27"/>
        <v>4.0201005025125629E-2</v>
      </c>
      <c r="K91" s="30">
        <f t="shared" si="27"/>
        <v>2.0408163265306121E-2</v>
      </c>
      <c r="L91" s="30">
        <f t="shared" si="27"/>
        <v>3.4662045060658578E-2</v>
      </c>
      <c r="M91" s="30">
        <f t="shared" si="27"/>
        <v>5.0359712230215826E-2</v>
      </c>
      <c r="N91" s="30">
        <f t="shared" si="27"/>
        <v>7.1942446043165464E-2</v>
      </c>
      <c r="O91" s="30">
        <f t="shared" si="27"/>
        <v>2.3809523809523808E-2</v>
      </c>
      <c r="P91" s="30">
        <f t="shared" si="27"/>
        <v>4.2452830188679243E-2</v>
      </c>
      <c r="Q91" s="30">
        <f t="shared" si="27"/>
        <v>2.564102564102564E-2</v>
      </c>
    </row>
    <row r="92" spans="1:17" x14ac:dyDescent="0.15">
      <c r="A92" s="30" t="s">
        <v>55</v>
      </c>
      <c r="B92" s="30">
        <f t="shared" si="27"/>
        <v>3.4805890227576977E-2</v>
      </c>
      <c r="C92" s="30">
        <f t="shared" si="27"/>
        <v>4.0816326530612242E-2</v>
      </c>
      <c r="D92" s="30">
        <f t="shared" si="27"/>
        <v>3.6544850498338874E-2</v>
      </c>
      <c r="E92" s="30">
        <f t="shared" si="27"/>
        <v>3.880597014925373E-2</v>
      </c>
      <c r="F92" s="30">
        <f t="shared" si="27"/>
        <v>4.8014226437462955E-2</v>
      </c>
      <c r="G92" s="30">
        <f t="shared" si="27"/>
        <v>4.1095890410958902E-2</v>
      </c>
      <c r="H92" s="30">
        <f t="shared" si="27"/>
        <v>4.6511627906976744E-2</v>
      </c>
      <c r="I92" s="30">
        <f t="shared" si="27"/>
        <v>7.1428571428571425E-2</v>
      </c>
      <c r="J92" s="30">
        <f t="shared" si="27"/>
        <v>4.5226130653266333E-2</v>
      </c>
      <c r="K92" s="30">
        <f t="shared" si="27"/>
        <v>0</v>
      </c>
      <c r="L92" s="30">
        <f t="shared" si="27"/>
        <v>3.9861351819757362E-2</v>
      </c>
      <c r="M92" s="30">
        <f t="shared" si="27"/>
        <v>4.3165467625899283E-2</v>
      </c>
      <c r="N92" s="30">
        <f t="shared" si="27"/>
        <v>2.8776978417266189E-2</v>
      </c>
      <c r="O92" s="30">
        <f t="shared" si="27"/>
        <v>3.5714285714285712E-2</v>
      </c>
      <c r="P92" s="30">
        <f t="shared" si="27"/>
        <v>3.3018867924528301E-2</v>
      </c>
      <c r="Q92" s="30">
        <f t="shared" si="27"/>
        <v>1.7094017094017096E-2</v>
      </c>
    </row>
    <row r="93" spans="1:17" x14ac:dyDescent="0.15">
      <c r="A93" s="30" t="s">
        <v>56</v>
      </c>
      <c r="B93" s="30">
        <f t="shared" si="27"/>
        <v>4.5515394912985271E-2</v>
      </c>
      <c r="C93" s="30">
        <f t="shared" si="27"/>
        <v>5.1020408163265307E-2</v>
      </c>
      <c r="D93" s="30">
        <f t="shared" si="27"/>
        <v>2.6578073089700997E-2</v>
      </c>
      <c r="E93" s="30">
        <f t="shared" si="27"/>
        <v>3.3830845771144279E-2</v>
      </c>
      <c r="F93" s="30">
        <f t="shared" si="27"/>
        <v>4.4457617071724957E-2</v>
      </c>
      <c r="G93" s="30">
        <f t="shared" si="27"/>
        <v>4.7945205479452052E-2</v>
      </c>
      <c r="H93" s="30">
        <f t="shared" si="27"/>
        <v>2.3255813953488372E-2</v>
      </c>
      <c r="I93" s="30">
        <f t="shared" si="27"/>
        <v>7.1428571428571425E-2</v>
      </c>
      <c r="J93" s="30">
        <f t="shared" si="27"/>
        <v>4.5226130653266333E-2</v>
      </c>
      <c r="K93" s="30">
        <f t="shared" si="27"/>
        <v>0.12244897959183673</v>
      </c>
      <c r="L93" s="30">
        <f t="shared" si="27"/>
        <v>3.4662045060658578E-2</v>
      </c>
      <c r="M93" s="30">
        <f t="shared" si="27"/>
        <v>5.7553956834532377E-2</v>
      </c>
      <c r="N93" s="30">
        <f t="shared" si="27"/>
        <v>2.8776978417266189E-2</v>
      </c>
      <c r="O93" s="30">
        <f t="shared" si="27"/>
        <v>3.5714285714285712E-2</v>
      </c>
      <c r="P93" s="30">
        <f t="shared" si="27"/>
        <v>3.3018867924528301E-2</v>
      </c>
      <c r="Q93" s="30">
        <f t="shared" si="27"/>
        <v>4.7008547008547008E-2</v>
      </c>
    </row>
    <row r="94" spans="1:17" x14ac:dyDescent="0.15">
      <c r="A94" s="30" t="s">
        <v>57</v>
      </c>
      <c r="B94" s="30">
        <f t="shared" si="27"/>
        <v>3.3467202141900937E-2</v>
      </c>
      <c r="C94" s="30">
        <f t="shared" si="27"/>
        <v>2.0408163265306121E-2</v>
      </c>
      <c r="D94" s="30">
        <f t="shared" si="27"/>
        <v>2.9900332225913623E-2</v>
      </c>
      <c r="E94" s="30">
        <f t="shared" si="27"/>
        <v>2.6865671641791045E-2</v>
      </c>
      <c r="F94" s="30">
        <f t="shared" si="27"/>
        <v>2.6674570243034972E-2</v>
      </c>
      <c r="G94" s="30">
        <f t="shared" si="27"/>
        <v>3.4246575342465752E-2</v>
      </c>
      <c r="H94" s="30">
        <f t="shared" si="27"/>
        <v>2.3255813953488372E-2</v>
      </c>
      <c r="I94" s="30">
        <f t="shared" si="27"/>
        <v>0</v>
      </c>
      <c r="J94" s="30">
        <f t="shared" si="27"/>
        <v>3.5175879396984924E-2</v>
      </c>
      <c r="K94" s="30">
        <f t="shared" si="27"/>
        <v>4.0816326530612242E-2</v>
      </c>
      <c r="L94" s="30">
        <f t="shared" si="27"/>
        <v>3.292894280762565E-2</v>
      </c>
      <c r="M94" s="30">
        <f t="shared" si="27"/>
        <v>2.8776978417266189E-2</v>
      </c>
      <c r="N94" s="30">
        <f t="shared" si="27"/>
        <v>5.0359712230215826E-2</v>
      </c>
      <c r="O94" s="30">
        <f t="shared" si="27"/>
        <v>2.976190476190476E-2</v>
      </c>
      <c r="P94" s="30">
        <f t="shared" si="27"/>
        <v>9.433962264150943E-3</v>
      </c>
      <c r="Q94" s="30">
        <f t="shared" si="27"/>
        <v>3.8461538461538464E-2</v>
      </c>
    </row>
    <row r="95" spans="1:17" x14ac:dyDescent="0.15">
      <c r="A95" s="30" t="s">
        <v>58</v>
      </c>
      <c r="B95" s="30">
        <f t="shared" si="27"/>
        <v>2.9451137884872823E-2</v>
      </c>
      <c r="C95" s="30">
        <f t="shared" si="27"/>
        <v>3.0612244897959183E-2</v>
      </c>
      <c r="D95" s="30">
        <f t="shared" si="27"/>
        <v>2.9900332225913623E-2</v>
      </c>
      <c r="E95" s="30">
        <f t="shared" si="27"/>
        <v>2.4875621890547265E-2</v>
      </c>
      <c r="F95" s="30">
        <f t="shared" si="27"/>
        <v>2.7860106698280974E-2</v>
      </c>
      <c r="G95" s="30">
        <f t="shared" si="27"/>
        <v>4.1095890410958902E-2</v>
      </c>
      <c r="H95" s="30">
        <f t="shared" si="27"/>
        <v>0</v>
      </c>
      <c r="I95" s="30">
        <f t="shared" si="27"/>
        <v>4.7619047619047616E-2</v>
      </c>
      <c r="J95" s="30">
        <f t="shared" si="27"/>
        <v>4.0201005025125629E-2</v>
      </c>
      <c r="K95" s="30">
        <f t="shared" si="27"/>
        <v>4.0816326530612242E-2</v>
      </c>
      <c r="L95" s="30">
        <f t="shared" si="27"/>
        <v>3.4662045060658578E-2</v>
      </c>
      <c r="M95" s="30">
        <f t="shared" si="27"/>
        <v>3.9568345323741004E-2</v>
      </c>
      <c r="N95" s="30">
        <f t="shared" si="27"/>
        <v>2.1582733812949641E-2</v>
      </c>
      <c r="O95" s="30">
        <f t="shared" si="27"/>
        <v>4.1666666666666664E-2</v>
      </c>
      <c r="P95" s="30">
        <f t="shared" si="27"/>
        <v>9.433962264150943E-3</v>
      </c>
      <c r="Q95" s="30">
        <f t="shared" si="27"/>
        <v>3.4188034188034191E-2</v>
      </c>
    </row>
    <row r="96" spans="1:17" x14ac:dyDescent="0.15">
      <c r="A96" s="30" t="s">
        <v>59</v>
      </c>
      <c r="B96" s="30">
        <f t="shared" si="27"/>
        <v>4.1499330655957165E-2</v>
      </c>
      <c r="C96" s="30">
        <f t="shared" si="27"/>
        <v>6.1224489795918366E-2</v>
      </c>
      <c r="D96" s="30">
        <f t="shared" si="27"/>
        <v>6.6445182724252497E-2</v>
      </c>
      <c r="E96" s="30">
        <f t="shared" si="27"/>
        <v>5.3731343283582089E-2</v>
      </c>
      <c r="F96" s="30">
        <f t="shared" si="27"/>
        <v>4.9199762892708949E-2</v>
      </c>
      <c r="G96" s="30">
        <f t="shared" si="27"/>
        <v>1.3698630136986301E-2</v>
      </c>
      <c r="H96" s="30">
        <f t="shared" si="27"/>
        <v>9.3023255813953487E-2</v>
      </c>
      <c r="I96" s="30">
        <f t="shared" si="27"/>
        <v>2.3809523809523808E-2</v>
      </c>
      <c r="J96" s="30">
        <f t="shared" si="27"/>
        <v>2.5125628140703519E-2</v>
      </c>
      <c r="K96" s="30">
        <f t="shared" si="27"/>
        <v>0.10204081632653061</v>
      </c>
      <c r="L96" s="30">
        <f t="shared" si="27"/>
        <v>5.1993067590987867E-2</v>
      </c>
      <c r="M96" s="30">
        <f t="shared" si="27"/>
        <v>5.0359712230215826E-2</v>
      </c>
      <c r="N96" s="30">
        <f t="shared" si="27"/>
        <v>4.3165467625899283E-2</v>
      </c>
      <c r="O96" s="30">
        <f t="shared" si="27"/>
        <v>4.7619047619047616E-2</v>
      </c>
      <c r="P96" s="30">
        <f t="shared" si="27"/>
        <v>9.433962264150943E-3</v>
      </c>
      <c r="Q96" s="30">
        <f t="shared" si="27"/>
        <v>5.128205128205128E-2</v>
      </c>
    </row>
    <row r="97" spans="1:17" x14ac:dyDescent="0.15">
      <c r="A97" s="30" t="s">
        <v>60</v>
      </c>
      <c r="B97" s="30">
        <f t="shared" si="27"/>
        <v>0.14457831325301204</v>
      </c>
      <c r="C97" s="30">
        <f t="shared" si="27"/>
        <v>0.15306122448979592</v>
      </c>
      <c r="D97" s="30">
        <f t="shared" si="27"/>
        <v>0.14950166112956811</v>
      </c>
      <c r="E97" s="30">
        <f t="shared" si="27"/>
        <v>0.12935323383084577</v>
      </c>
      <c r="F97" s="30">
        <f t="shared" si="27"/>
        <v>0.13692946058091288</v>
      </c>
      <c r="G97" s="30">
        <f t="shared" si="27"/>
        <v>0.13013698630136986</v>
      </c>
      <c r="H97" s="30">
        <f t="shared" si="27"/>
        <v>0.16279069767441862</v>
      </c>
      <c r="I97" s="30">
        <f t="shared" si="27"/>
        <v>0.19047619047619047</v>
      </c>
      <c r="J97" s="30">
        <f t="shared" si="27"/>
        <v>0.18090452261306533</v>
      </c>
      <c r="K97" s="30">
        <f t="shared" si="27"/>
        <v>0.18367346938775511</v>
      </c>
      <c r="L97" s="30">
        <f t="shared" si="27"/>
        <v>0.13344887348353554</v>
      </c>
      <c r="M97" s="30">
        <f t="shared" si="27"/>
        <v>0.11870503597122302</v>
      </c>
      <c r="N97" s="30">
        <f t="shared" si="27"/>
        <v>0.1366906474820144</v>
      </c>
      <c r="O97" s="30">
        <f t="shared" si="27"/>
        <v>0.16666666666666666</v>
      </c>
      <c r="P97" s="30">
        <f t="shared" si="27"/>
        <v>0.20754716981132076</v>
      </c>
      <c r="Q97" s="30">
        <f t="shared" si="27"/>
        <v>0.11965811965811966</v>
      </c>
    </row>
    <row r="98" spans="1:17" x14ac:dyDescent="0.15">
      <c r="A98" s="32" t="s">
        <v>235</v>
      </c>
      <c r="B98" s="40">
        <f>49/20</f>
        <v>2.4500000000000002</v>
      </c>
      <c r="C98" s="32">
        <f>193/50</f>
        <v>3.86</v>
      </c>
      <c r="D98" s="32">
        <f>333/100</f>
        <v>3.33</v>
      </c>
      <c r="E98" s="32">
        <f>27/20</f>
        <v>1.35</v>
      </c>
      <c r="F98" s="32">
        <f>267/100</f>
        <v>2.67</v>
      </c>
      <c r="G98" s="32">
        <f>57/50</f>
        <v>1.1399999999999999</v>
      </c>
      <c r="H98" s="32">
        <f>401/50</f>
        <v>8.02</v>
      </c>
      <c r="I98" s="32">
        <f>307/20</f>
        <v>15.35</v>
      </c>
      <c r="J98" s="32">
        <f>519/100</f>
        <v>5.19</v>
      </c>
      <c r="K98" s="32">
        <f>357/20</f>
        <v>17.850000000000001</v>
      </c>
      <c r="L98" s="32">
        <f>153/50</f>
        <v>3.06</v>
      </c>
      <c r="M98" s="32">
        <f>49/25</f>
        <v>1.96</v>
      </c>
      <c r="N98" s="32">
        <f>49/25</f>
        <v>1.96</v>
      </c>
      <c r="O98" s="32">
        <f>389/100</f>
        <v>3.89</v>
      </c>
      <c r="P98" s="32">
        <f>1439/100</f>
        <v>14.39</v>
      </c>
      <c r="Q98" s="32">
        <f>49/25</f>
        <v>1.96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topLeftCell="O1" zoomScale="80" zoomScaleNormal="80" zoomScalePageLayoutView="80" workbookViewId="0">
      <selection activeCell="U45" sqref="U45"/>
    </sheetView>
  </sheetViews>
  <sheetFormatPr baseColWidth="10" defaultRowHeight="15" x14ac:dyDescent="0.15"/>
  <cols>
    <col min="2" max="2" width="28.5" bestFit="1" customWidth="1"/>
    <col min="3" max="3" width="28.83203125" bestFit="1" customWidth="1"/>
    <col min="4" max="4" width="39" bestFit="1" customWidth="1"/>
    <col min="5" max="5" width="18.83203125" bestFit="1" customWidth="1"/>
    <col min="6" max="6" width="22.83203125" bestFit="1" customWidth="1"/>
    <col min="7" max="7" width="28.83203125" bestFit="1" customWidth="1"/>
    <col min="8" max="8" width="18.83203125" bestFit="1" customWidth="1"/>
    <col min="9" max="9" width="16.83203125" bestFit="1" customWidth="1"/>
    <col min="10" max="10" width="41" bestFit="1" customWidth="1"/>
    <col min="11" max="11" width="26.83203125" bestFit="1" customWidth="1"/>
    <col min="12" max="12" width="16.5" bestFit="1" customWidth="1"/>
    <col min="13" max="13" width="29.5" bestFit="1" customWidth="1"/>
    <col min="14" max="14" width="31.5" bestFit="1" customWidth="1"/>
    <col min="15" max="15" width="39.5" bestFit="1" customWidth="1"/>
    <col min="16" max="16" width="25.5" bestFit="1" customWidth="1"/>
    <col min="17" max="17" width="34.5" bestFit="1" customWidth="1"/>
    <col min="18" max="18" width="38" bestFit="1" customWidth="1"/>
    <col min="19" max="19" width="32.83203125" bestFit="1" customWidth="1"/>
    <col min="20" max="20" width="16.83203125" bestFit="1" customWidth="1"/>
    <col min="21" max="21" width="35.83203125" bestFit="1" customWidth="1"/>
    <col min="22" max="22" width="24.83203125" bestFit="1" customWidth="1"/>
    <col min="23" max="23" width="32.83203125" bestFit="1" customWidth="1"/>
    <col min="24" max="24" width="27.83203125" bestFit="1" customWidth="1"/>
    <col min="25" max="25" width="19.83203125" bestFit="1" customWidth="1"/>
    <col min="26" max="26" width="20.83203125" bestFit="1" customWidth="1"/>
    <col min="27" max="27" width="16.83203125" bestFit="1" customWidth="1"/>
    <col min="28" max="28" width="24.83203125" bestFit="1" customWidth="1"/>
    <col min="29" max="29" width="34.83203125" bestFit="1" customWidth="1"/>
    <col min="30" max="30" width="54" bestFit="1" customWidth="1"/>
    <col min="31" max="31" width="44" bestFit="1" customWidth="1"/>
    <col min="32" max="32" width="52" bestFit="1" customWidth="1"/>
    <col min="33" max="33" width="16.83203125" bestFit="1" customWidth="1"/>
  </cols>
  <sheetData>
    <row r="1" spans="1:33" x14ac:dyDescent="0.15">
      <c r="B1" s="23" t="s">
        <v>241</v>
      </c>
      <c r="C1" s="23" t="s">
        <v>305</v>
      </c>
      <c r="D1" s="23" t="s">
        <v>306</v>
      </c>
      <c r="E1" s="23" t="s">
        <v>307</v>
      </c>
      <c r="F1" s="23" t="s">
        <v>308</v>
      </c>
      <c r="G1" s="23" t="s">
        <v>309</v>
      </c>
      <c r="H1" s="23" t="s">
        <v>310</v>
      </c>
      <c r="I1" s="23" t="s">
        <v>311</v>
      </c>
      <c r="J1" s="23" t="s">
        <v>312</v>
      </c>
      <c r="K1" s="23" t="s">
        <v>313</v>
      </c>
      <c r="L1" s="23" t="s">
        <v>314</v>
      </c>
      <c r="M1" s="23" t="s">
        <v>315</v>
      </c>
      <c r="N1" s="23" t="s">
        <v>316</v>
      </c>
      <c r="O1" s="23" t="s">
        <v>317</v>
      </c>
      <c r="P1" s="23" t="s">
        <v>318</v>
      </c>
      <c r="Q1" s="23" t="s">
        <v>319</v>
      </c>
      <c r="R1" s="23" t="s">
        <v>320</v>
      </c>
      <c r="S1" s="23" t="s">
        <v>321</v>
      </c>
      <c r="T1" s="23" t="s">
        <v>322</v>
      </c>
      <c r="U1" s="23" t="s">
        <v>323</v>
      </c>
      <c r="V1" s="23" t="s">
        <v>324</v>
      </c>
      <c r="W1" s="23" t="s">
        <v>325</v>
      </c>
      <c r="X1" s="23" t="s">
        <v>326</v>
      </c>
      <c r="Y1" s="23" t="s">
        <v>327</v>
      </c>
      <c r="Z1" s="23" t="s">
        <v>328</v>
      </c>
      <c r="AA1" s="23" t="s">
        <v>329</v>
      </c>
      <c r="AB1" s="23" t="s">
        <v>330</v>
      </c>
      <c r="AC1" s="23" t="s">
        <v>331</v>
      </c>
      <c r="AD1" s="23" t="s">
        <v>332</v>
      </c>
      <c r="AE1" s="23" t="s">
        <v>333</v>
      </c>
      <c r="AF1" s="23" t="s">
        <v>334</v>
      </c>
      <c r="AG1" s="23" t="s">
        <v>335</v>
      </c>
    </row>
    <row r="2" spans="1:33" x14ac:dyDescent="0.15">
      <c r="B2" s="23" t="s">
        <v>273</v>
      </c>
      <c r="C2" s="23" t="s">
        <v>274</v>
      </c>
      <c r="D2" s="23" t="s">
        <v>275</v>
      </c>
      <c r="E2" s="23" t="s">
        <v>276</v>
      </c>
      <c r="F2" s="23" t="s">
        <v>277</v>
      </c>
      <c r="G2" s="23" t="s">
        <v>278</v>
      </c>
      <c r="H2" s="23" t="s">
        <v>279</v>
      </c>
      <c r="I2" s="23" t="s">
        <v>280</v>
      </c>
      <c r="J2" s="23" t="s">
        <v>281</v>
      </c>
      <c r="K2" s="23" t="s">
        <v>282</v>
      </c>
      <c r="L2" s="23" t="s">
        <v>283</v>
      </c>
      <c r="M2" s="23" t="s">
        <v>284</v>
      </c>
      <c r="N2" s="23" t="s">
        <v>285</v>
      </c>
      <c r="O2" s="23" t="s">
        <v>286</v>
      </c>
      <c r="P2" s="23" t="s">
        <v>287</v>
      </c>
      <c r="Q2" s="23" t="s">
        <v>288</v>
      </c>
      <c r="R2" s="23" t="s">
        <v>289</v>
      </c>
      <c r="S2" s="23" t="s">
        <v>290</v>
      </c>
      <c r="T2" s="23" t="s">
        <v>291</v>
      </c>
      <c r="U2" s="23" t="s">
        <v>292</v>
      </c>
      <c r="V2" s="23" t="s">
        <v>293</v>
      </c>
      <c r="W2" s="23" t="s">
        <v>294</v>
      </c>
      <c r="X2" s="23" t="s">
        <v>295</v>
      </c>
      <c r="Y2" s="23" t="s">
        <v>296</v>
      </c>
      <c r="Z2" s="23" t="s">
        <v>297</v>
      </c>
      <c r="AA2" s="23" t="s">
        <v>298</v>
      </c>
      <c r="AB2" s="23" t="s">
        <v>299</v>
      </c>
      <c r="AC2" s="23" t="s">
        <v>300</v>
      </c>
      <c r="AD2" s="23" t="s">
        <v>301</v>
      </c>
      <c r="AE2" s="23" t="s">
        <v>302</v>
      </c>
      <c r="AF2" s="23" t="s">
        <v>303</v>
      </c>
      <c r="AG2" s="23" t="s">
        <v>304</v>
      </c>
    </row>
    <row r="3" spans="1:33" x14ac:dyDescent="0.15">
      <c r="A3" s="27"/>
      <c r="B3" s="23" t="s">
        <v>242</v>
      </c>
      <c r="C3" s="23" t="s">
        <v>243</v>
      </c>
      <c r="D3" s="23" t="s">
        <v>244</v>
      </c>
      <c r="E3" s="23" t="s">
        <v>245</v>
      </c>
      <c r="F3" s="23" t="s">
        <v>246</v>
      </c>
      <c r="G3" s="23" t="s">
        <v>247</v>
      </c>
      <c r="H3" s="23" t="s">
        <v>248</v>
      </c>
      <c r="I3" s="23" t="s">
        <v>249</v>
      </c>
      <c r="J3" s="23" t="s">
        <v>250</v>
      </c>
      <c r="K3" s="23" t="s">
        <v>251</v>
      </c>
      <c r="L3" s="23" t="s">
        <v>252</v>
      </c>
      <c r="M3" s="23" t="s">
        <v>253</v>
      </c>
      <c r="N3" s="23" t="s">
        <v>254</v>
      </c>
      <c r="O3" s="23" t="s">
        <v>255</v>
      </c>
      <c r="P3" s="23" t="s">
        <v>256</v>
      </c>
      <c r="Q3" s="23" t="s">
        <v>257</v>
      </c>
      <c r="R3" s="23" t="s">
        <v>338</v>
      </c>
      <c r="S3" s="23" t="s">
        <v>258</v>
      </c>
      <c r="T3" s="23" t="s">
        <v>259</v>
      </c>
      <c r="U3" s="23" t="s">
        <v>260</v>
      </c>
      <c r="V3" s="23" t="s">
        <v>261</v>
      </c>
      <c r="W3" s="23" t="s">
        <v>262</v>
      </c>
      <c r="X3" s="23" t="s">
        <v>263</v>
      </c>
      <c r="Y3" s="23" t="s">
        <v>264</v>
      </c>
      <c r="Z3" s="23" t="s">
        <v>265</v>
      </c>
      <c r="AA3" s="23" t="s">
        <v>266</v>
      </c>
      <c r="AB3" s="23" t="s">
        <v>267</v>
      </c>
      <c r="AC3" s="23" t="s">
        <v>268</v>
      </c>
      <c r="AD3" s="23" t="s">
        <v>269</v>
      </c>
      <c r="AE3" s="23" t="s">
        <v>270</v>
      </c>
      <c r="AF3" s="23" t="s">
        <v>271</v>
      </c>
      <c r="AG3" s="23" t="s">
        <v>272</v>
      </c>
    </row>
    <row r="4" spans="1:33" x14ac:dyDescent="0.15">
      <c r="A4" s="27" t="s">
        <v>7</v>
      </c>
      <c r="B4" s="23">
        <v>387</v>
      </c>
      <c r="C4" s="23">
        <v>143</v>
      </c>
      <c r="D4" s="23">
        <v>173</v>
      </c>
      <c r="E4" s="23">
        <v>68</v>
      </c>
      <c r="F4" s="23">
        <v>50</v>
      </c>
      <c r="G4" s="23">
        <v>75</v>
      </c>
      <c r="H4" s="23">
        <v>68</v>
      </c>
      <c r="I4" s="23">
        <v>24</v>
      </c>
      <c r="J4" s="23">
        <v>25</v>
      </c>
      <c r="K4" s="23">
        <v>44</v>
      </c>
      <c r="L4" s="23">
        <v>26</v>
      </c>
      <c r="M4" s="23">
        <v>22</v>
      </c>
      <c r="N4" s="23">
        <v>14</v>
      </c>
      <c r="O4" s="23">
        <v>14</v>
      </c>
      <c r="P4" s="23">
        <v>47</v>
      </c>
      <c r="Q4" s="23">
        <v>20</v>
      </c>
      <c r="R4" s="23">
        <v>13</v>
      </c>
      <c r="S4" s="23">
        <v>15</v>
      </c>
      <c r="T4" s="23">
        <v>48</v>
      </c>
      <c r="U4" s="23">
        <v>22</v>
      </c>
      <c r="V4" s="23">
        <v>20</v>
      </c>
      <c r="W4" s="23">
        <v>21</v>
      </c>
      <c r="X4" s="23">
        <v>31</v>
      </c>
      <c r="Y4" s="23">
        <v>17</v>
      </c>
      <c r="Z4" s="23">
        <v>22</v>
      </c>
      <c r="AA4" s="23">
        <v>14</v>
      </c>
      <c r="AB4" s="23">
        <v>10</v>
      </c>
      <c r="AC4" s="23">
        <v>43</v>
      </c>
      <c r="AD4" s="23">
        <v>15</v>
      </c>
      <c r="AE4" s="23">
        <v>16</v>
      </c>
      <c r="AF4" s="23">
        <v>11</v>
      </c>
      <c r="AG4" s="23">
        <v>17</v>
      </c>
    </row>
    <row r="5" spans="1:33" x14ac:dyDescent="0.15">
      <c r="A5" s="34" t="s">
        <v>23</v>
      </c>
      <c r="B5" s="34" t="s">
        <v>24</v>
      </c>
      <c r="C5" s="34" t="s">
        <v>24</v>
      </c>
      <c r="D5" s="34" t="s">
        <v>24</v>
      </c>
      <c r="E5" s="34" t="s">
        <v>24</v>
      </c>
      <c r="F5" s="34" t="s">
        <v>24</v>
      </c>
      <c r="G5" s="34" t="s">
        <v>24</v>
      </c>
      <c r="H5" s="34" t="s">
        <v>24</v>
      </c>
      <c r="I5" s="34" t="s">
        <v>24</v>
      </c>
      <c r="J5" s="34" t="s">
        <v>24</v>
      </c>
      <c r="K5" s="34" t="s">
        <v>24</v>
      </c>
      <c r="L5" s="34" t="s">
        <v>24</v>
      </c>
      <c r="M5" s="34" t="s">
        <v>24</v>
      </c>
      <c r="N5" s="34" t="s">
        <v>24</v>
      </c>
      <c r="O5" s="34" t="s">
        <v>24</v>
      </c>
      <c r="P5" s="34" t="s">
        <v>24</v>
      </c>
      <c r="Q5" s="34" t="s">
        <v>24</v>
      </c>
      <c r="R5" s="34" t="s">
        <v>24</v>
      </c>
      <c r="S5" s="34" t="s">
        <v>24</v>
      </c>
      <c r="T5" s="34" t="s">
        <v>24</v>
      </c>
      <c r="U5" s="34" t="s">
        <v>24</v>
      </c>
      <c r="V5" s="34" t="s">
        <v>24</v>
      </c>
      <c r="W5" s="34" t="s">
        <v>24</v>
      </c>
      <c r="X5" s="34" t="s">
        <v>24</v>
      </c>
      <c r="Y5" s="34" t="s">
        <v>24</v>
      </c>
      <c r="Z5" s="34" t="s">
        <v>24</v>
      </c>
      <c r="AA5" s="34" t="s">
        <v>24</v>
      </c>
      <c r="AB5" s="34" t="s">
        <v>24</v>
      </c>
      <c r="AC5" s="34" t="s">
        <v>24</v>
      </c>
      <c r="AD5" s="34" t="s">
        <v>24</v>
      </c>
      <c r="AE5" s="34" t="s">
        <v>24</v>
      </c>
      <c r="AF5" s="34" t="s">
        <v>24</v>
      </c>
      <c r="AG5" s="34" t="s">
        <v>24</v>
      </c>
    </row>
    <row r="6" spans="1:33" x14ac:dyDescent="0.15">
      <c r="A6" s="34" t="s">
        <v>52</v>
      </c>
      <c r="B6" s="34">
        <f>[173]KEGG_1_stat_stem_AT_GC_freq_10!B2</f>
        <v>998</v>
      </c>
      <c r="C6" s="34">
        <f>[174]KEGG_2_stat_stem_AT_GC_freq_10!B2</f>
        <v>378</v>
      </c>
      <c r="D6" s="34">
        <f>[175]KEGG_3_stat_stem_AT_GC_freq_10!B2</f>
        <v>432</v>
      </c>
      <c r="E6" s="34">
        <f>[176]KEGG_4_stat_stem_AT_GC_freq_10!B2</f>
        <v>151</v>
      </c>
      <c r="F6" s="34">
        <f>[177]KEGG_5_stat_stem_AT_GC_freq_10!B2</f>
        <v>102</v>
      </c>
      <c r="G6" s="34">
        <f>[178]KEGG_6_stat_stem_AT_GC_freq_10!B2</f>
        <v>202</v>
      </c>
      <c r="H6" s="34">
        <f>[179]KEGG_7_stat_stem_AT_GC_freq_10!B2</f>
        <v>163</v>
      </c>
      <c r="I6" s="34">
        <f>[180]KEGG_8_stat_stem_AT_GC_freq_10!B2</f>
        <v>46</v>
      </c>
      <c r="J6" s="34">
        <f>[181]KEGG_9_stat_stem_AT_GC_freq_10!B2</f>
        <v>52</v>
      </c>
      <c r="K6" s="34">
        <f>[182]KEGG_10_stat_stem_AT_GC_freq_10!B2</f>
        <v>49</v>
      </c>
      <c r="L6" s="34">
        <f>[183]KEGG_11_stat_stem_AT_GC_freq_10!B2</f>
        <v>57</v>
      </c>
      <c r="M6" s="34">
        <f>[184]KEGG_12_stat_stem_AT_GC_freq_10!B2</f>
        <v>74</v>
      </c>
      <c r="N6" s="34">
        <f>[185]KEGG_13_stat_stem_AT_GC_freq_10!B2</f>
        <v>32</v>
      </c>
      <c r="O6" s="34">
        <f>[186]KEGG_14_stat_stem_AT_GC_freq_10!B2</f>
        <v>39</v>
      </c>
      <c r="P6" s="34">
        <f>[187]KEGG_15_stat_stem_AT_GC_freq_10!B2</f>
        <v>140</v>
      </c>
      <c r="Q6" s="34">
        <f>[188]KEGG_16_stat_stem_AT_GC_freq_10!B2</f>
        <v>62</v>
      </c>
      <c r="R6" s="34">
        <f>[189]KEGG_17_stat_stem_AT_GC_freq_10!B2</f>
        <v>22</v>
      </c>
      <c r="S6" s="34">
        <f>[190]KEGG_18_stat_stem_AT_GC_freq_10!B2</f>
        <v>30</v>
      </c>
      <c r="T6" s="34">
        <f>[191]KEGG_19_stat_stem_AT_GC_freq_10!B2</f>
        <v>138</v>
      </c>
      <c r="U6" s="34">
        <f>[192]KEGG_20_stat_stem_AT_GC_freq_10!B2</f>
        <v>44</v>
      </c>
      <c r="V6" s="34">
        <f>[193]KEGG_21_stat_stem_AT_GC_freq_10!B2</f>
        <v>47</v>
      </c>
      <c r="W6" s="34">
        <f>[194]KEGG_22_stat_stem_AT_GC_freq_10!B2</f>
        <v>68</v>
      </c>
      <c r="X6" s="34">
        <f>[195]KEGG_23_stat_stem_AT_GC_freq_10!B2</f>
        <v>84</v>
      </c>
      <c r="Y6" s="34">
        <f>[196]KEGG_24_stat_stem_AT_GC_freq_10!B2</f>
        <v>51</v>
      </c>
      <c r="Z6" s="34">
        <f>[197]KEGG_25_stat_stem_AT_GC_freq_10!B2</f>
        <v>75</v>
      </c>
      <c r="AA6" s="34">
        <f>[198]KEGG_26_stat_stem_AT_GC_freq_10!B2</f>
        <v>21</v>
      </c>
      <c r="AB6" s="34">
        <f>[199]KEGG_27_stat_stem_AT_GC_freq_10!B2</f>
        <v>21</v>
      </c>
      <c r="AC6" s="34">
        <f>[200]KEGG_28_stat_stem_AT_GC_freq_10!B2</f>
        <v>134</v>
      </c>
      <c r="AD6" s="34">
        <f>[201]KEGG_29_stat_stem_AT_GC_freq_10!B2</f>
        <v>58</v>
      </c>
      <c r="AE6" s="34">
        <f>[202]KEGG_30_stat_stem_AT_GC_freq_10!B2</f>
        <v>50</v>
      </c>
      <c r="AF6" s="34">
        <f>[203]KEGG_31_stat_stem_AT_GC_freq_10!B2</f>
        <v>32</v>
      </c>
      <c r="AG6" s="34">
        <f>[204]KEGG_32_stat_stem_AT_GC_freq_10!B2</f>
        <v>46</v>
      </c>
    </row>
    <row r="7" spans="1:33" x14ac:dyDescent="0.15">
      <c r="A7" s="34" t="s">
        <v>38</v>
      </c>
      <c r="B7" s="34">
        <f>[173]KEGG_1_stat_stem_AT_GC_freq_10!B3</f>
        <v>138</v>
      </c>
      <c r="C7" s="34">
        <f>[174]KEGG_2_stat_stem_AT_GC_freq_10!B3</f>
        <v>50</v>
      </c>
      <c r="D7" s="34">
        <f>[175]KEGG_3_stat_stem_AT_GC_freq_10!B3</f>
        <v>60</v>
      </c>
      <c r="E7" s="34">
        <f>[176]KEGG_4_stat_stem_AT_GC_freq_10!B3</f>
        <v>15</v>
      </c>
      <c r="F7" s="34">
        <f>[177]KEGG_5_stat_stem_AT_GC_freq_10!B3</f>
        <v>9</v>
      </c>
      <c r="G7" s="34">
        <f>[178]KEGG_6_stat_stem_AT_GC_freq_10!B3</f>
        <v>22</v>
      </c>
      <c r="H7" s="34">
        <f>[179]KEGG_7_stat_stem_AT_GC_freq_10!B3</f>
        <v>23</v>
      </c>
      <c r="I7" s="34">
        <f>[180]KEGG_8_stat_stem_AT_GC_freq_10!B3</f>
        <v>3</v>
      </c>
      <c r="J7" s="34">
        <f>[181]KEGG_9_stat_stem_AT_GC_freq_10!B3</f>
        <v>4</v>
      </c>
      <c r="K7" s="34">
        <f>[182]KEGG_10_stat_stem_AT_GC_freq_10!B3</f>
        <v>11</v>
      </c>
      <c r="L7" s="34">
        <f>[183]KEGG_11_stat_stem_AT_GC_freq_10!B3</f>
        <v>10</v>
      </c>
      <c r="M7" s="34">
        <f>[184]KEGG_12_stat_stem_AT_GC_freq_10!B3</f>
        <v>8</v>
      </c>
      <c r="N7" s="34">
        <f>[185]KEGG_13_stat_stem_AT_GC_freq_10!B3</f>
        <v>3</v>
      </c>
      <c r="O7" s="34">
        <f>[186]KEGG_14_stat_stem_AT_GC_freq_10!B3</f>
        <v>6</v>
      </c>
      <c r="P7" s="34">
        <f>[187]KEGG_15_stat_stem_AT_GC_freq_10!B3</f>
        <v>26</v>
      </c>
      <c r="Q7" s="34">
        <f>[188]KEGG_16_stat_stem_AT_GC_freq_10!B3</f>
        <v>5</v>
      </c>
      <c r="R7" s="34">
        <f>[189]KEGG_17_stat_stem_AT_GC_freq_10!B3</f>
        <v>2</v>
      </c>
      <c r="S7" s="34">
        <f>[190]KEGG_18_stat_stem_AT_GC_freq_10!B3</f>
        <v>7</v>
      </c>
      <c r="T7" s="34">
        <f>[191]KEGG_19_stat_stem_AT_GC_freq_10!B3</f>
        <v>23</v>
      </c>
      <c r="U7" s="34">
        <f>[192]KEGG_20_stat_stem_AT_GC_freq_10!B3</f>
        <v>7</v>
      </c>
      <c r="V7" s="34">
        <f>[193]KEGG_21_stat_stem_AT_GC_freq_10!B3</f>
        <v>5</v>
      </c>
      <c r="W7" s="34">
        <f>[194]KEGG_22_stat_stem_AT_GC_freq_10!B3</f>
        <v>4</v>
      </c>
      <c r="X7" s="34">
        <f>[195]KEGG_23_stat_stem_AT_GC_freq_10!B3</f>
        <v>15</v>
      </c>
      <c r="Y7" s="34">
        <f>[196]KEGG_24_stat_stem_AT_GC_freq_10!B3</f>
        <v>5</v>
      </c>
      <c r="Z7" s="34">
        <f>[197]KEGG_25_stat_stem_AT_GC_freq_10!B3</f>
        <v>15</v>
      </c>
      <c r="AA7" s="34">
        <f>[198]KEGG_26_stat_stem_AT_GC_freq_10!B3</f>
        <v>8</v>
      </c>
      <c r="AB7" s="34">
        <f>[199]KEGG_27_stat_stem_AT_GC_freq_10!B3</f>
        <v>6</v>
      </c>
      <c r="AC7" s="34">
        <f>[200]KEGG_28_stat_stem_AT_GC_freq_10!B3</f>
        <v>18</v>
      </c>
      <c r="AD7" s="34">
        <f>[201]KEGG_29_stat_stem_AT_GC_freq_10!B3</f>
        <v>10</v>
      </c>
      <c r="AE7" s="34">
        <f>[202]KEGG_30_stat_stem_AT_GC_freq_10!B3</f>
        <v>9</v>
      </c>
      <c r="AF7" s="34">
        <f>[203]KEGG_31_stat_stem_AT_GC_freq_10!B3</f>
        <v>4</v>
      </c>
      <c r="AG7" s="34">
        <f>[204]KEGG_32_stat_stem_AT_GC_freq_10!B3</f>
        <v>6</v>
      </c>
    </row>
    <row r="8" spans="1:33" x14ac:dyDescent="0.15">
      <c r="A8" s="34" t="s">
        <v>53</v>
      </c>
      <c r="B8" s="34">
        <f>[173]KEGG_1_stat_stem_AT_GC_freq_10!B4</f>
        <v>77</v>
      </c>
      <c r="C8" s="34">
        <f>[174]KEGG_2_stat_stem_AT_GC_freq_10!B4</f>
        <v>30</v>
      </c>
      <c r="D8" s="34">
        <f>[175]KEGG_3_stat_stem_AT_GC_freq_10!B4</f>
        <v>32</v>
      </c>
      <c r="E8" s="34">
        <f>[176]KEGG_4_stat_stem_AT_GC_freq_10!B4</f>
        <v>22</v>
      </c>
      <c r="F8" s="34">
        <f>[177]KEGG_5_stat_stem_AT_GC_freq_10!B4</f>
        <v>12</v>
      </c>
      <c r="G8" s="34">
        <f>[178]KEGG_6_stat_stem_AT_GC_freq_10!B4</f>
        <v>17</v>
      </c>
      <c r="H8" s="34">
        <f>[179]KEGG_7_stat_stem_AT_GC_freq_10!B4</f>
        <v>16</v>
      </c>
      <c r="I8" s="34">
        <f>[180]KEGG_8_stat_stem_AT_GC_freq_10!B4</f>
        <v>7</v>
      </c>
      <c r="J8" s="34">
        <f>[181]KEGG_9_stat_stem_AT_GC_freq_10!B4</f>
        <v>3</v>
      </c>
      <c r="K8" s="34">
        <f>[182]KEGG_10_stat_stem_AT_GC_freq_10!B4</f>
        <v>1</v>
      </c>
      <c r="L8" s="34">
        <f>[183]KEGG_11_stat_stem_AT_GC_freq_10!B4</f>
        <v>5</v>
      </c>
      <c r="M8" s="34">
        <f>[184]KEGG_12_stat_stem_AT_GC_freq_10!B4</f>
        <v>5</v>
      </c>
      <c r="N8" s="34">
        <f>[185]KEGG_13_stat_stem_AT_GC_freq_10!B4</f>
        <v>0</v>
      </c>
      <c r="O8" s="34">
        <f>[186]KEGG_14_stat_stem_AT_GC_freq_10!B4</f>
        <v>3</v>
      </c>
      <c r="P8" s="34">
        <f>[187]KEGG_15_stat_stem_AT_GC_freq_10!B4</f>
        <v>24</v>
      </c>
      <c r="Q8" s="34">
        <f>[188]KEGG_16_stat_stem_AT_GC_freq_10!B4</f>
        <v>6</v>
      </c>
      <c r="R8" s="34">
        <f>[189]KEGG_17_stat_stem_AT_GC_freq_10!B4</f>
        <v>3</v>
      </c>
      <c r="S8" s="34">
        <f>[190]KEGG_18_stat_stem_AT_GC_freq_10!B4</f>
        <v>4</v>
      </c>
      <c r="T8" s="34">
        <f>[191]KEGG_19_stat_stem_AT_GC_freq_10!B4</f>
        <v>11</v>
      </c>
      <c r="U8" s="34">
        <f>[192]KEGG_20_stat_stem_AT_GC_freq_10!B4</f>
        <v>2</v>
      </c>
      <c r="V8" s="34">
        <f>[193]KEGG_21_stat_stem_AT_GC_freq_10!B4</f>
        <v>2</v>
      </c>
      <c r="W8" s="34">
        <f>[194]KEGG_22_stat_stem_AT_GC_freq_10!B4</f>
        <v>3</v>
      </c>
      <c r="X8" s="34">
        <f>[195]KEGG_23_stat_stem_AT_GC_freq_10!B4</f>
        <v>6</v>
      </c>
      <c r="Y8" s="34">
        <f>[196]KEGG_24_stat_stem_AT_GC_freq_10!B4</f>
        <v>4</v>
      </c>
      <c r="Z8" s="34">
        <f>[197]KEGG_25_stat_stem_AT_GC_freq_10!B4</f>
        <v>10</v>
      </c>
      <c r="AA8" s="34">
        <f>[198]KEGG_26_stat_stem_AT_GC_freq_10!B4</f>
        <v>6</v>
      </c>
      <c r="AB8" s="34">
        <f>[199]KEGG_27_stat_stem_AT_GC_freq_10!B4</f>
        <v>3</v>
      </c>
      <c r="AC8" s="34">
        <f>[200]KEGG_28_stat_stem_AT_GC_freq_10!B4</f>
        <v>15</v>
      </c>
      <c r="AD8" s="34">
        <f>[201]KEGG_29_stat_stem_AT_GC_freq_10!B4</f>
        <v>4</v>
      </c>
      <c r="AE8" s="34">
        <f>[202]KEGG_30_stat_stem_AT_GC_freq_10!B4</f>
        <v>0</v>
      </c>
      <c r="AF8" s="34">
        <f>[203]KEGG_31_stat_stem_AT_GC_freq_10!B4</f>
        <v>5</v>
      </c>
      <c r="AG8" s="34">
        <f>[204]KEGG_32_stat_stem_AT_GC_freq_10!B4</f>
        <v>7</v>
      </c>
    </row>
    <row r="9" spans="1:33" x14ac:dyDescent="0.15">
      <c r="A9" s="34" t="s">
        <v>54</v>
      </c>
      <c r="B9" s="34">
        <f>[173]KEGG_1_stat_stem_AT_GC_freq_10!B5</f>
        <v>78</v>
      </c>
      <c r="C9" s="34">
        <f>[174]KEGG_2_stat_stem_AT_GC_freq_10!B5</f>
        <v>32</v>
      </c>
      <c r="D9" s="34">
        <f>[175]KEGG_3_stat_stem_AT_GC_freq_10!B5</f>
        <v>35</v>
      </c>
      <c r="E9" s="34">
        <f>[176]KEGG_4_stat_stem_AT_GC_freq_10!B5</f>
        <v>9</v>
      </c>
      <c r="F9" s="34">
        <f>[177]KEGG_5_stat_stem_AT_GC_freq_10!B5</f>
        <v>4</v>
      </c>
      <c r="G9" s="34">
        <f>[178]KEGG_6_stat_stem_AT_GC_freq_10!B5</f>
        <v>15</v>
      </c>
      <c r="H9" s="34">
        <f>[179]KEGG_7_stat_stem_AT_GC_freq_10!B5</f>
        <v>14</v>
      </c>
      <c r="I9" s="34">
        <f>[180]KEGG_8_stat_stem_AT_GC_freq_10!B5</f>
        <v>3</v>
      </c>
      <c r="J9" s="34">
        <f>[181]KEGG_9_stat_stem_AT_GC_freq_10!B5</f>
        <v>3</v>
      </c>
      <c r="K9" s="34">
        <f>[182]KEGG_10_stat_stem_AT_GC_freq_10!B5</f>
        <v>3</v>
      </c>
      <c r="L9" s="34">
        <f>[183]KEGG_11_stat_stem_AT_GC_freq_10!B5</f>
        <v>7</v>
      </c>
      <c r="M9" s="34">
        <f>[184]KEGG_12_stat_stem_AT_GC_freq_10!B5</f>
        <v>5</v>
      </c>
      <c r="N9" s="34">
        <f>[185]KEGG_13_stat_stem_AT_GC_freq_10!B5</f>
        <v>3</v>
      </c>
      <c r="O9" s="34">
        <f>[186]KEGG_14_stat_stem_AT_GC_freq_10!B5</f>
        <v>5</v>
      </c>
      <c r="P9" s="34">
        <f>[187]KEGG_15_stat_stem_AT_GC_freq_10!B5</f>
        <v>12</v>
      </c>
      <c r="Q9" s="34">
        <f>[188]KEGG_16_stat_stem_AT_GC_freq_10!B5</f>
        <v>6</v>
      </c>
      <c r="R9" s="34">
        <f>[189]KEGG_17_stat_stem_AT_GC_freq_10!B5</f>
        <v>2</v>
      </c>
      <c r="S9" s="34">
        <f>[190]KEGG_18_stat_stem_AT_GC_freq_10!B5</f>
        <v>2</v>
      </c>
      <c r="T9" s="34">
        <f>[191]KEGG_19_stat_stem_AT_GC_freq_10!B5</f>
        <v>10</v>
      </c>
      <c r="U9" s="34">
        <f>[192]KEGG_20_stat_stem_AT_GC_freq_10!B5</f>
        <v>6</v>
      </c>
      <c r="V9" s="34">
        <f>[193]KEGG_21_stat_stem_AT_GC_freq_10!B5</f>
        <v>5</v>
      </c>
      <c r="W9" s="34">
        <f>[194]KEGG_22_stat_stem_AT_GC_freq_10!B5</f>
        <v>9</v>
      </c>
      <c r="X9" s="34">
        <f>[195]KEGG_23_stat_stem_AT_GC_freq_10!B5</f>
        <v>6</v>
      </c>
      <c r="Y9" s="34">
        <f>[196]KEGG_24_stat_stem_AT_GC_freq_10!B5</f>
        <v>0</v>
      </c>
      <c r="Z9" s="34">
        <f>[197]KEGG_25_stat_stem_AT_GC_freq_10!B5</f>
        <v>8</v>
      </c>
      <c r="AA9" s="34">
        <f>[198]KEGG_26_stat_stem_AT_GC_freq_10!B5</f>
        <v>2</v>
      </c>
      <c r="AB9" s="34">
        <f>[199]KEGG_27_stat_stem_AT_GC_freq_10!B5</f>
        <v>3</v>
      </c>
      <c r="AC9" s="34">
        <f>[200]KEGG_28_stat_stem_AT_GC_freq_10!B5</f>
        <v>7</v>
      </c>
      <c r="AD9" s="34">
        <f>[201]KEGG_29_stat_stem_AT_GC_freq_10!B5</f>
        <v>4</v>
      </c>
      <c r="AE9" s="34">
        <f>[202]KEGG_30_stat_stem_AT_GC_freq_10!B5</f>
        <v>3</v>
      </c>
      <c r="AF9" s="34">
        <f>[203]KEGG_31_stat_stem_AT_GC_freq_10!B5</f>
        <v>3</v>
      </c>
      <c r="AG9" s="34">
        <f>[204]KEGG_32_stat_stem_AT_GC_freq_10!B5</f>
        <v>1</v>
      </c>
    </row>
    <row r="10" spans="1:33" x14ac:dyDescent="0.15">
      <c r="A10" s="34" t="s">
        <v>55</v>
      </c>
      <c r="B10" s="34">
        <f>[173]KEGG_1_stat_stem_AT_GC_freq_10!B6</f>
        <v>86</v>
      </c>
      <c r="C10" s="34">
        <f>[174]KEGG_2_stat_stem_AT_GC_freq_10!B6</f>
        <v>32</v>
      </c>
      <c r="D10" s="34">
        <f>[175]KEGG_3_stat_stem_AT_GC_freq_10!B6</f>
        <v>33</v>
      </c>
      <c r="E10" s="34">
        <f>[176]KEGG_4_stat_stem_AT_GC_freq_10!B6</f>
        <v>8</v>
      </c>
      <c r="F10" s="34">
        <f>[177]KEGG_5_stat_stem_AT_GC_freq_10!B6</f>
        <v>5</v>
      </c>
      <c r="G10" s="34">
        <f>[178]KEGG_6_stat_stem_AT_GC_freq_10!B6</f>
        <v>19</v>
      </c>
      <c r="H10" s="34">
        <f>[179]KEGG_7_stat_stem_AT_GC_freq_10!B6</f>
        <v>11</v>
      </c>
      <c r="I10" s="34">
        <f>[180]KEGG_8_stat_stem_AT_GC_freq_10!B6</f>
        <v>3</v>
      </c>
      <c r="J10" s="34">
        <f>[181]KEGG_9_stat_stem_AT_GC_freq_10!B6</f>
        <v>3</v>
      </c>
      <c r="K10" s="34">
        <f>[182]KEGG_10_stat_stem_AT_GC_freq_10!B6</f>
        <v>2</v>
      </c>
      <c r="L10" s="34">
        <f>[183]KEGG_11_stat_stem_AT_GC_freq_10!B6</f>
        <v>5</v>
      </c>
      <c r="M10" s="34">
        <f>[184]KEGG_12_stat_stem_AT_GC_freq_10!B6</f>
        <v>8</v>
      </c>
      <c r="N10" s="34">
        <f>[185]KEGG_13_stat_stem_AT_GC_freq_10!B6</f>
        <v>7</v>
      </c>
      <c r="O10" s="34">
        <f>[186]KEGG_14_stat_stem_AT_GC_freq_10!B6</f>
        <v>3</v>
      </c>
      <c r="P10" s="34">
        <f>[187]KEGG_15_stat_stem_AT_GC_freq_10!B6</f>
        <v>15</v>
      </c>
      <c r="Q10" s="34">
        <f>[188]KEGG_16_stat_stem_AT_GC_freq_10!B6</f>
        <v>8</v>
      </c>
      <c r="R10" s="34">
        <f>[189]KEGG_17_stat_stem_AT_GC_freq_10!B6</f>
        <v>6</v>
      </c>
      <c r="S10" s="34">
        <f>[190]KEGG_18_stat_stem_AT_GC_freq_10!B6</f>
        <v>3</v>
      </c>
      <c r="T10" s="34">
        <f>[191]KEGG_19_stat_stem_AT_GC_freq_10!B6</f>
        <v>11</v>
      </c>
      <c r="U10" s="34">
        <f>[192]KEGG_20_stat_stem_AT_GC_freq_10!B6</f>
        <v>3</v>
      </c>
      <c r="V10" s="34">
        <f>[193]KEGG_21_stat_stem_AT_GC_freq_10!B6</f>
        <v>2</v>
      </c>
      <c r="W10" s="34">
        <f>[194]KEGG_22_stat_stem_AT_GC_freq_10!B6</f>
        <v>11</v>
      </c>
      <c r="X10" s="34">
        <f>[195]KEGG_23_stat_stem_AT_GC_freq_10!B6</f>
        <v>4</v>
      </c>
      <c r="Y10" s="34">
        <f>[196]KEGG_24_stat_stem_AT_GC_freq_10!B6</f>
        <v>2</v>
      </c>
      <c r="Z10" s="34">
        <f>[197]KEGG_25_stat_stem_AT_GC_freq_10!B6</f>
        <v>3</v>
      </c>
      <c r="AA10" s="34">
        <f>[198]KEGG_26_stat_stem_AT_GC_freq_10!B6</f>
        <v>1</v>
      </c>
      <c r="AB10" s="34">
        <f>[199]KEGG_27_stat_stem_AT_GC_freq_10!B6</f>
        <v>0</v>
      </c>
      <c r="AC10" s="34">
        <f>[200]KEGG_28_stat_stem_AT_GC_freq_10!B6</f>
        <v>11</v>
      </c>
      <c r="AD10" s="34">
        <f>[201]KEGG_29_stat_stem_AT_GC_freq_10!B6</f>
        <v>8</v>
      </c>
      <c r="AE10" s="34">
        <f>[202]KEGG_30_stat_stem_AT_GC_freq_10!B6</f>
        <v>4</v>
      </c>
      <c r="AF10" s="34">
        <f>[203]KEGG_31_stat_stem_AT_GC_freq_10!B6</f>
        <v>1</v>
      </c>
      <c r="AG10" s="34">
        <f>[204]KEGG_32_stat_stem_AT_GC_freq_10!B6</f>
        <v>3</v>
      </c>
    </row>
    <row r="11" spans="1:33" x14ac:dyDescent="0.15">
      <c r="A11" s="34" t="s">
        <v>56</v>
      </c>
      <c r="B11" s="34">
        <f>[173]KEGG_1_stat_stem_AT_GC_freq_10!B7</f>
        <v>64</v>
      </c>
      <c r="C11" s="34">
        <f>[174]KEGG_2_stat_stem_AT_GC_freq_10!B7</f>
        <v>24</v>
      </c>
      <c r="D11" s="34">
        <f>[175]KEGG_3_stat_stem_AT_GC_freq_10!B7</f>
        <v>33</v>
      </c>
      <c r="E11" s="34">
        <f>[176]KEGG_4_stat_stem_AT_GC_freq_10!B7</f>
        <v>20</v>
      </c>
      <c r="F11" s="34">
        <f>[177]KEGG_5_stat_stem_AT_GC_freq_10!B7</f>
        <v>11</v>
      </c>
      <c r="G11" s="34">
        <f>[178]KEGG_6_stat_stem_AT_GC_freq_10!B7</f>
        <v>12</v>
      </c>
      <c r="H11" s="34">
        <f>[179]KEGG_7_stat_stem_AT_GC_freq_10!B7</f>
        <v>5</v>
      </c>
      <c r="I11" s="34">
        <f>[180]KEGG_8_stat_stem_AT_GC_freq_10!B7</f>
        <v>5</v>
      </c>
      <c r="J11" s="34">
        <f>[181]KEGG_9_stat_stem_AT_GC_freq_10!B7</f>
        <v>1</v>
      </c>
      <c r="K11" s="34">
        <f>[182]KEGG_10_stat_stem_AT_GC_freq_10!B7</f>
        <v>6</v>
      </c>
      <c r="L11" s="34">
        <f>[183]KEGG_11_stat_stem_AT_GC_freq_10!B7</f>
        <v>5</v>
      </c>
      <c r="M11" s="34">
        <f>[184]KEGG_12_stat_stem_AT_GC_freq_10!B7</f>
        <v>1</v>
      </c>
      <c r="N11" s="34">
        <f>[185]KEGG_13_stat_stem_AT_GC_freq_10!B7</f>
        <v>3</v>
      </c>
      <c r="O11" s="34">
        <f>[186]KEGG_14_stat_stem_AT_GC_freq_10!B7</f>
        <v>3</v>
      </c>
      <c r="P11" s="34">
        <f>[187]KEGG_15_stat_stem_AT_GC_freq_10!B7</f>
        <v>3</v>
      </c>
      <c r="Q11" s="34">
        <f>[188]KEGG_16_stat_stem_AT_GC_freq_10!B7</f>
        <v>2</v>
      </c>
      <c r="R11" s="34">
        <f>[189]KEGG_17_stat_stem_AT_GC_freq_10!B7</f>
        <v>3</v>
      </c>
      <c r="S11" s="34">
        <f>[190]KEGG_18_stat_stem_AT_GC_freq_10!B7</f>
        <v>4</v>
      </c>
      <c r="T11" s="34">
        <f>[191]KEGG_19_stat_stem_AT_GC_freq_10!B7</f>
        <v>9</v>
      </c>
      <c r="U11" s="34">
        <f>[192]KEGG_20_stat_stem_AT_GC_freq_10!B7</f>
        <v>0</v>
      </c>
      <c r="V11" s="34">
        <f>[193]KEGG_21_stat_stem_AT_GC_freq_10!B7</f>
        <v>2</v>
      </c>
      <c r="W11" s="34">
        <f>[194]KEGG_22_stat_stem_AT_GC_freq_10!B7</f>
        <v>4</v>
      </c>
      <c r="X11" s="34">
        <f>[195]KEGG_23_stat_stem_AT_GC_freq_10!B7</f>
        <v>4</v>
      </c>
      <c r="Y11" s="34">
        <f>[196]KEGG_24_stat_stem_AT_GC_freq_10!B7</f>
        <v>0</v>
      </c>
      <c r="Z11" s="34">
        <f>[197]KEGG_25_stat_stem_AT_GC_freq_10!B7</f>
        <v>2</v>
      </c>
      <c r="AA11" s="34">
        <f>[198]KEGG_26_stat_stem_AT_GC_freq_10!B7</f>
        <v>0</v>
      </c>
      <c r="AB11" s="34">
        <f>[199]KEGG_27_stat_stem_AT_GC_freq_10!B7</f>
        <v>1</v>
      </c>
      <c r="AC11" s="34">
        <f>[200]KEGG_28_stat_stem_AT_GC_freq_10!B7</f>
        <v>8</v>
      </c>
      <c r="AD11" s="34">
        <f>[201]KEGG_29_stat_stem_AT_GC_freq_10!B7</f>
        <v>3</v>
      </c>
      <c r="AE11" s="34">
        <f>[202]KEGG_30_stat_stem_AT_GC_freq_10!B7</f>
        <v>4</v>
      </c>
      <c r="AF11" s="34">
        <f>[203]KEGG_31_stat_stem_AT_GC_freq_10!B7</f>
        <v>3</v>
      </c>
      <c r="AG11" s="34">
        <f>[204]KEGG_32_stat_stem_AT_GC_freq_10!B7</f>
        <v>7</v>
      </c>
    </row>
    <row r="12" spans="1:33" x14ac:dyDescent="0.15">
      <c r="A12" s="34" t="s">
        <v>57</v>
      </c>
      <c r="B12" s="34">
        <f>[173]KEGG_1_stat_stem_AT_GC_freq_10!B8</f>
        <v>57</v>
      </c>
      <c r="C12" s="34">
        <f>[174]KEGG_2_stat_stem_AT_GC_freq_10!B8</f>
        <v>20</v>
      </c>
      <c r="D12" s="34">
        <f>[175]KEGG_3_stat_stem_AT_GC_freq_10!B8</f>
        <v>26</v>
      </c>
      <c r="E12" s="34">
        <f>[176]KEGG_4_stat_stem_AT_GC_freq_10!B8</f>
        <v>10</v>
      </c>
      <c r="F12" s="34">
        <f>[177]KEGG_5_stat_stem_AT_GC_freq_10!B8</f>
        <v>4</v>
      </c>
      <c r="G12" s="34">
        <f>[178]KEGG_6_stat_stem_AT_GC_freq_10!B8</f>
        <v>10</v>
      </c>
      <c r="H12" s="34">
        <f>[179]KEGG_7_stat_stem_AT_GC_freq_10!B8</f>
        <v>9</v>
      </c>
      <c r="I12" s="34">
        <f>[180]KEGG_8_stat_stem_AT_GC_freq_10!B8</f>
        <v>2</v>
      </c>
      <c r="J12" s="34">
        <f>[181]KEGG_9_stat_stem_AT_GC_freq_10!B8</f>
        <v>2</v>
      </c>
      <c r="K12" s="34">
        <f>[182]KEGG_10_stat_stem_AT_GC_freq_10!B8</f>
        <v>8</v>
      </c>
      <c r="L12" s="34">
        <f>[183]KEGG_11_stat_stem_AT_GC_freq_10!B8</f>
        <v>4</v>
      </c>
      <c r="M12" s="34">
        <f>[184]KEGG_12_stat_stem_AT_GC_freq_10!B8</f>
        <v>6</v>
      </c>
      <c r="N12" s="34">
        <f>[185]KEGG_13_stat_stem_AT_GC_freq_10!B8</f>
        <v>3</v>
      </c>
      <c r="O12" s="34">
        <f>[186]KEGG_14_stat_stem_AT_GC_freq_10!B8</f>
        <v>1</v>
      </c>
      <c r="P12" s="34">
        <f>[187]KEGG_15_stat_stem_AT_GC_freq_10!B8</f>
        <v>8</v>
      </c>
      <c r="Q12" s="34">
        <f>[188]KEGG_16_stat_stem_AT_GC_freq_10!B8</f>
        <v>4</v>
      </c>
      <c r="R12" s="34">
        <f>[189]KEGG_17_stat_stem_AT_GC_freq_10!B8</f>
        <v>4</v>
      </c>
      <c r="S12" s="34">
        <f>[190]KEGG_18_stat_stem_AT_GC_freq_10!B8</f>
        <v>0</v>
      </c>
      <c r="T12" s="34">
        <f>[191]KEGG_19_stat_stem_AT_GC_freq_10!B8</f>
        <v>10</v>
      </c>
      <c r="U12" s="34">
        <f>[192]KEGG_20_stat_stem_AT_GC_freq_10!B8</f>
        <v>3</v>
      </c>
      <c r="V12" s="34">
        <f>[193]KEGG_21_stat_stem_AT_GC_freq_10!B8</f>
        <v>2</v>
      </c>
      <c r="W12" s="34">
        <f>[194]KEGG_22_stat_stem_AT_GC_freq_10!B8</f>
        <v>4</v>
      </c>
      <c r="X12" s="34">
        <f>[195]KEGG_23_stat_stem_AT_GC_freq_10!B8</f>
        <v>3</v>
      </c>
      <c r="Y12" s="34">
        <f>[196]KEGG_24_stat_stem_AT_GC_freq_10!B8</f>
        <v>2</v>
      </c>
      <c r="Z12" s="34">
        <f>[197]KEGG_25_stat_stem_AT_GC_freq_10!B8</f>
        <v>3</v>
      </c>
      <c r="AA12" s="34">
        <f>[198]KEGG_26_stat_stem_AT_GC_freq_10!B8</f>
        <v>1</v>
      </c>
      <c r="AB12" s="34">
        <f>[199]KEGG_27_stat_stem_AT_GC_freq_10!B8</f>
        <v>3</v>
      </c>
      <c r="AC12" s="34">
        <f>[200]KEGG_28_stat_stem_AT_GC_freq_10!B8</f>
        <v>9</v>
      </c>
      <c r="AD12" s="34">
        <f>[201]KEGG_29_stat_stem_AT_GC_freq_10!B8</f>
        <v>1</v>
      </c>
      <c r="AE12" s="34">
        <f>[202]KEGG_30_stat_stem_AT_GC_freq_10!B8</f>
        <v>2</v>
      </c>
      <c r="AF12" s="34">
        <f>[203]KEGG_31_stat_stem_AT_GC_freq_10!B8</f>
        <v>2</v>
      </c>
      <c r="AG12" s="34">
        <f>[204]KEGG_32_stat_stem_AT_GC_freq_10!B8</f>
        <v>6</v>
      </c>
    </row>
    <row r="13" spans="1:33" x14ac:dyDescent="0.15">
      <c r="A13" s="34" t="s">
        <v>58</v>
      </c>
      <c r="B13" s="34">
        <f>[173]KEGG_1_stat_stem_AT_GC_freq_10!B9</f>
        <v>55</v>
      </c>
      <c r="C13" s="34">
        <f>[174]KEGG_2_stat_stem_AT_GC_freq_10!B9</f>
        <v>15</v>
      </c>
      <c r="D13" s="34">
        <f>[175]KEGG_3_stat_stem_AT_GC_freq_10!B9</f>
        <v>11</v>
      </c>
      <c r="E13" s="34">
        <f>[176]KEGG_4_stat_stem_AT_GC_freq_10!B9</f>
        <v>9</v>
      </c>
      <c r="F13" s="34">
        <f>[177]KEGG_5_stat_stem_AT_GC_freq_10!B9</f>
        <v>7</v>
      </c>
      <c r="G13" s="34">
        <f>[178]KEGG_6_stat_stem_AT_GC_freq_10!B9</f>
        <v>8</v>
      </c>
      <c r="H13" s="34">
        <f>[179]KEGG_7_stat_stem_AT_GC_freq_10!B9</f>
        <v>9</v>
      </c>
      <c r="I13" s="34">
        <f>[180]KEGG_8_stat_stem_AT_GC_freq_10!B9</f>
        <v>3</v>
      </c>
      <c r="J13" s="34">
        <f>[181]KEGG_9_stat_stem_AT_GC_freq_10!B9</f>
        <v>3</v>
      </c>
      <c r="K13" s="34">
        <f>[182]KEGG_10_stat_stem_AT_GC_freq_10!B9</f>
        <v>5</v>
      </c>
      <c r="L13" s="34">
        <f>[183]KEGG_11_stat_stem_AT_GC_freq_10!B9</f>
        <v>1</v>
      </c>
      <c r="M13" s="34">
        <f>[184]KEGG_12_stat_stem_AT_GC_freq_10!B9</f>
        <v>5</v>
      </c>
      <c r="N13" s="34">
        <f>[185]KEGG_13_stat_stem_AT_GC_freq_10!B9</f>
        <v>1</v>
      </c>
      <c r="O13" s="34">
        <f>[186]KEGG_14_stat_stem_AT_GC_freq_10!B9</f>
        <v>1</v>
      </c>
      <c r="P13" s="34">
        <f>[187]KEGG_15_stat_stem_AT_GC_freq_10!B9</f>
        <v>12</v>
      </c>
      <c r="Q13" s="34">
        <f>[188]KEGG_16_stat_stem_AT_GC_freq_10!B9</f>
        <v>5</v>
      </c>
      <c r="R13" s="34">
        <f>[189]KEGG_17_stat_stem_AT_GC_freq_10!B9</f>
        <v>0</v>
      </c>
      <c r="S13" s="34">
        <f>[190]KEGG_18_stat_stem_AT_GC_freq_10!B9</f>
        <v>0</v>
      </c>
      <c r="T13" s="34">
        <f>[191]KEGG_19_stat_stem_AT_GC_freq_10!B9</f>
        <v>14</v>
      </c>
      <c r="U13" s="34">
        <f>[192]KEGG_20_stat_stem_AT_GC_freq_10!B9</f>
        <v>3</v>
      </c>
      <c r="V13" s="34">
        <f>[193]KEGG_21_stat_stem_AT_GC_freq_10!B9</f>
        <v>2</v>
      </c>
      <c r="W13" s="34">
        <f>[194]KEGG_22_stat_stem_AT_GC_freq_10!B9</f>
        <v>3</v>
      </c>
      <c r="X13" s="34">
        <f>[195]KEGG_23_stat_stem_AT_GC_freq_10!B9</f>
        <v>1</v>
      </c>
      <c r="Y13" s="34">
        <f>[196]KEGG_24_stat_stem_AT_GC_freq_10!B9</f>
        <v>2</v>
      </c>
      <c r="Z13" s="34">
        <f>[197]KEGG_25_stat_stem_AT_GC_freq_10!B9</f>
        <v>4</v>
      </c>
      <c r="AA13" s="34">
        <f>[198]KEGG_26_stat_stem_AT_GC_freq_10!B9</f>
        <v>4</v>
      </c>
      <c r="AB13" s="34">
        <f>[199]KEGG_27_stat_stem_AT_GC_freq_10!B9</f>
        <v>2</v>
      </c>
      <c r="AC13" s="34">
        <f>[200]KEGG_28_stat_stem_AT_GC_freq_10!B9</f>
        <v>10</v>
      </c>
      <c r="AD13" s="34">
        <f>[201]KEGG_29_stat_stem_AT_GC_freq_10!B9</f>
        <v>4</v>
      </c>
      <c r="AE13" s="34">
        <f>[202]KEGG_30_stat_stem_AT_GC_freq_10!B9</f>
        <v>2</v>
      </c>
      <c r="AF13" s="34">
        <f>[203]KEGG_31_stat_stem_AT_GC_freq_10!B9</f>
        <v>2</v>
      </c>
      <c r="AG13" s="34">
        <f>[204]KEGG_32_stat_stem_AT_GC_freq_10!B9</f>
        <v>2</v>
      </c>
    </row>
    <row r="14" spans="1:33" x14ac:dyDescent="0.15">
      <c r="A14" s="34" t="s">
        <v>59</v>
      </c>
      <c r="B14" s="34">
        <f>[173]KEGG_1_stat_stem_AT_GC_freq_10!B10</f>
        <v>96</v>
      </c>
      <c r="C14" s="34">
        <f>[174]KEGG_2_stat_stem_AT_GC_freq_10!B10</f>
        <v>22</v>
      </c>
      <c r="D14" s="34">
        <f>[175]KEGG_3_stat_stem_AT_GC_freq_10!B10</f>
        <v>34</v>
      </c>
      <c r="E14" s="34">
        <f>[176]KEGG_4_stat_stem_AT_GC_freq_10!B10</f>
        <v>16</v>
      </c>
      <c r="F14" s="34">
        <f>[177]KEGG_5_stat_stem_AT_GC_freq_10!B10</f>
        <v>15</v>
      </c>
      <c r="G14" s="34">
        <f>[178]KEGG_6_stat_stem_AT_GC_freq_10!B10</f>
        <v>17</v>
      </c>
      <c r="H14" s="34">
        <f>[179]KEGG_7_stat_stem_AT_GC_freq_10!B10</f>
        <v>14</v>
      </c>
      <c r="I14" s="34">
        <f>[180]KEGG_8_stat_stem_AT_GC_freq_10!B10</f>
        <v>6</v>
      </c>
      <c r="J14" s="34">
        <f>[181]KEGG_9_stat_stem_AT_GC_freq_10!B10</f>
        <v>1</v>
      </c>
      <c r="K14" s="34">
        <f>[182]KEGG_10_stat_stem_AT_GC_freq_10!B10</f>
        <v>8</v>
      </c>
      <c r="L14" s="34">
        <f>[183]KEGG_11_stat_stem_AT_GC_freq_10!B10</f>
        <v>2</v>
      </c>
      <c r="M14" s="34">
        <f>[184]KEGG_12_stat_stem_AT_GC_freq_10!B10</f>
        <v>8</v>
      </c>
      <c r="N14" s="34">
        <f>[185]KEGG_13_stat_stem_AT_GC_freq_10!B10</f>
        <v>2</v>
      </c>
      <c r="O14" s="34">
        <f>[186]KEGG_14_stat_stem_AT_GC_freq_10!B10</f>
        <v>4</v>
      </c>
      <c r="P14" s="34">
        <f>[187]KEGG_15_stat_stem_AT_GC_freq_10!B10</f>
        <v>7</v>
      </c>
      <c r="Q14" s="34">
        <f>[188]KEGG_16_stat_stem_AT_GC_freq_10!B10</f>
        <v>6</v>
      </c>
      <c r="R14" s="34">
        <f>[189]KEGG_17_stat_stem_AT_GC_freq_10!B10</f>
        <v>3</v>
      </c>
      <c r="S14" s="34">
        <f>[190]KEGG_18_stat_stem_AT_GC_freq_10!B10</f>
        <v>4</v>
      </c>
      <c r="T14" s="34">
        <f>[191]KEGG_19_stat_stem_AT_GC_freq_10!B10</f>
        <v>14</v>
      </c>
      <c r="U14" s="34">
        <f>[192]KEGG_20_stat_stem_AT_GC_freq_10!B10</f>
        <v>1</v>
      </c>
      <c r="V14" s="34">
        <f>[193]KEGG_21_stat_stem_AT_GC_freq_10!B10</f>
        <v>4</v>
      </c>
      <c r="W14" s="34">
        <f>[194]KEGG_22_stat_stem_AT_GC_freq_10!B10</f>
        <v>3</v>
      </c>
      <c r="X14" s="34">
        <f>[195]KEGG_23_stat_stem_AT_GC_freq_10!B10</f>
        <v>6</v>
      </c>
      <c r="Y14" s="34">
        <f>[196]KEGG_24_stat_stem_AT_GC_freq_10!B10</f>
        <v>6</v>
      </c>
      <c r="Z14" s="34">
        <f>[197]KEGG_25_stat_stem_AT_GC_freq_10!B10</f>
        <v>9</v>
      </c>
      <c r="AA14" s="34">
        <f>[198]KEGG_26_stat_stem_AT_GC_freq_10!B10</f>
        <v>2</v>
      </c>
      <c r="AB14" s="34">
        <f>[199]KEGG_27_stat_stem_AT_GC_freq_10!B10</f>
        <v>6</v>
      </c>
      <c r="AC14" s="34">
        <f>[200]KEGG_28_stat_stem_AT_GC_freq_10!B10</f>
        <v>16</v>
      </c>
      <c r="AD14" s="34">
        <f>[201]KEGG_29_stat_stem_AT_GC_freq_10!B10</f>
        <v>4</v>
      </c>
      <c r="AE14" s="34">
        <f>[202]KEGG_30_stat_stem_AT_GC_freq_10!B10</f>
        <v>6</v>
      </c>
      <c r="AF14" s="34">
        <f>[203]KEGG_31_stat_stem_AT_GC_freq_10!B10</f>
        <v>5</v>
      </c>
      <c r="AG14" s="34">
        <f>[204]KEGG_32_stat_stem_AT_GC_freq_10!B10</f>
        <v>1</v>
      </c>
    </row>
    <row r="15" spans="1:33" x14ac:dyDescent="0.15">
      <c r="A15" s="34" t="s">
        <v>60</v>
      </c>
      <c r="B15" s="34">
        <f>[173]KEGG_1_stat_stem_AT_GC_freq_10!B11</f>
        <v>273</v>
      </c>
      <c r="C15" s="34">
        <f>[174]KEGG_2_stat_stem_AT_GC_freq_10!B11</f>
        <v>95</v>
      </c>
      <c r="D15" s="34">
        <f>[175]KEGG_3_stat_stem_AT_GC_freq_10!B11</f>
        <v>122</v>
      </c>
      <c r="E15" s="34">
        <f>[176]KEGG_4_stat_stem_AT_GC_freq_10!B11</f>
        <v>41</v>
      </c>
      <c r="F15" s="34">
        <f>[177]KEGG_5_stat_stem_AT_GC_freq_10!B11</f>
        <v>35</v>
      </c>
      <c r="G15" s="34">
        <f>[178]KEGG_6_stat_stem_AT_GC_freq_10!B11</f>
        <v>59</v>
      </c>
      <c r="H15" s="34">
        <f>[179]KEGG_7_stat_stem_AT_GC_freq_10!B11</f>
        <v>45</v>
      </c>
      <c r="I15" s="34">
        <f>[180]KEGG_8_stat_stem_AT_GC_freq_10!B11</f>
        <v>13</v>
      </c>
      <c r="J15" s="34">
        <f>[181]KEGG_9_stat_stem_AT_GC_freq_10!B11</f>
        <v>21</v>
      </c>
      <c r="K15" s="34">
        <f>[182]KEGG_10_stat_stem_AT_GC_freq_10!B11</f>
        <v>14</v>
      </c>
      <c r="L15" s="34">
        <f>[183]KEGG_11_stat_stem_AT_GC_freq_10!B11</f>
        <v>10</v>
      </c>
      <c r="M15" s="34">
        <f>[184]KEGG_12_stat_stem_AT_GC_freq_10!B11</f>
        <v>17</v>
      </c>
      <c r="N15" s="34">
        <f>[185]KEGG_13_stat_stem_AT_GC_freq_10!B11</f>
        <v>3</v>
      </c>
      <c r="O15" s="34">
        <f>[186]KEGG_14_stat_stem_AT_GC_freq_10!B11</f>
        <v>9</v>
      </c>
      <c r="P15" s="34">
        <f>[187]KEGG_15_stat_stem_AT_GC_freq_10!B11</f>
        <v>44</v>
      </c>
      <c r="Q15" s="34">
        <f>[188]KEGG_16_stat_stem_AT_GC_freq_10!B11</f>
        <v>16</v>
      </c>
      <c r="R15" s="34">
        <f>[189]KEGG_17_stat_stem_AT_GC_freq_10!B11</f>
        <v>13</v>
      </c>
      <c r="S15" s="34">
        <f>[190]KEGG_18_stat_stem_AT_GC_freq_10!B11</f>
        <v>12</v>
      </c>
      <c r="T15" s="34">
        <f>[191]KEGG_19_stat_stem_AT_GC_freq_10!B11</f>
        <v>42</v>
      </c>
      <c r="U15" s="34">
        <f>[192]KEGG_20_stat_stem_AT_GC_freq_10!B11</f>
        <v>17</v>
      </c>
      <c r="V15" s="34">
        <f>[193]KEGG_21_stat_stem_AT_GC_freq_10!B11</f>
        <v>12</v>
      </c>
      <c r="W15" s="34">
        <f>[194]KEGG_22_stat_stem_AT_GC_freq_10!B11</f>
        <v>20</v>
      </c>
      <c r="X15" s="34">
        <f>[195]KEGG_23_stat_stem_AT_GC_freq_10!B11</f>
        <v>17</v>
      </c>
      <c r="Y15" s="34">
        <f>[196]KEGG_24_stat_stem_AT_GC_freq_10!B11</f>
        <v>16</v>
      </c>
      <c r="Z15" s="34">
        <f>[197]KEGG_25_stat_stem_AT_GC_freq_10!B11</f>
        <v>23</v>
      </c>
      <c r="AA15" s="34">
        <f>[198]KEGG_26_stat_stem_AT_GC_freq_10!B11</f>
        <v>9</v>
      </c>
      <c r="AB15" s="34">
        <f>[199]KEGG_27_stat_stem_AT_GC_freq_10!B11</f>
        <v>5</v>
      </c>
      <c r="AC15" s="34">
        <f>[200]KEGG_28_stat_stem_AT_GC_freq_10!B11</f>
        <v>41</v>
      </c>
      <c r="AD15" s="34">
        <f>[201]KEGG_29_stat_stem_AT_GC_freq_10!B11</f>
        <v>10</v>
      </c>
      <c r="AE15" s="34">
        <f>[202]KEGG_30_stat_stem_AT_GC_freq_10!B11</f>
        <v>19</v>
      </c>
      <c r="AF15" s="34">
        <f>[203]KEGG_31_stat_stem_AT_GC_freq_10!B11</f>
        <v>6</v>
      </c>
      <c r="AG15" s="34">
        <f>[204]KEGG_32_stat_stem_AT_GC_freq_10!B11</f>
        <v>13</v>
      </c>
    </row>
    <row r="16" spans="1:33" x14ac:dyDescent="0.15">
      <c r="A16" s="34" t="s">
        <v>61</v>
      </c>
      <c r="B16" s="34">
        <f t="shared" ref="B16" si="0">SUM(B6:B15)</f>
        <v>1922</v>
      </c>
      <c r="C16" s="34">
        <f t="shared" ref="C16:AG16" si="1">SUM(C6:C15)</f>
        <v>698</v>
      </c>
      <c r="D16" s="34">
        <f t="shared" si="1"/>
        <v>818</v>
      </c>
      <c r="E16" s="34">
        <f t="shared" si="1"/>
        <v>301</v>
      </c>
      <c r="F16" s="34">
        <f t="shared" si="1"/>
        <v>204</v>
      </c>
      <c r="G16" s="34">
        <f t="shared" si="1"/>
        <v>381</v>
      </c>
      <c r="H16" s="34">
        <f t="shared" si="1"/>
        <v>309</v>
      </c>
      <c r="I16" s="34">
        <f t="shared" si="1"/>
        <v>91</v>
      </c>
      <c r="J16" s="34">
        <f t="shared" si="1"/>
        <v>93</v>
      </c>
      <c r="K16" s="34">
        <f t="shared" si="1"/>
        <v>107</v>
      </c>
      <c r="L16" s="34">
        <f t="shared" si="1"/>
        <v>106</v>
      </c>
      <c r="M16" s="34">
        <f t="shared" si="1"/>
        <v>137</v>
      </c>
      <c r="N16" s="34">
        <f t="shared" si="1"/>
        <v>57</v>
      </c>
      <c r="O16" s="34">
        <f t="shared" si="1"/>
        <v>74</v>
      </c>
      <c r="P16" s="34">
        <f t="shared" si="1"/>
        <v>291</v>
      </c>
      <c r="Q16" s="34">
        <f t="shared" si="1"/>
        <v>120</v>
      </c>
      <c r="R16" s="34">
        <f t="shared" si="1"/>
        <v>58</v>
      </c>
      <c r="S16" s="34">
        <f t="shared" si="1"/>
        <v>66</v>
      </c>
      <c r="T16" s="34">
        <f t="shared" si="1"/>
        <v>282</v>
      </c>
      <c r="U16" s="34">
        <f t="shared" si="1"/>
        <v>86</v>
      </c>
      <c r="V16" s="34">
        <f t="shared" si="1"/>
        <v>83</v>
      </c>
      <c r="W16" s="34">
        <f t="shared" si="1"/>
        <v>129</v>
      </c>
      <c r="X16" s="34">
        <f t="shared" si="1"/>
        <v>146</v>
      </c>
      <c r="Y16" s="34">
        <f t="shared" si="1"/>
        <v>88</v>
      </c>
      <c r="Z16" s="34">
        <f t="shared" si="1"/>
        <v>152</v>
      </c>
      <c r="AA16" s="34">
        <f t="shared" si="1"/>
        <v>54</v>
      </c>
      <c r="AB16" s="34">
        <f t="shared" si="1"/>
        <v>50</v>
      </c>
      <c r="AC16" s="34">
        <f t="shared" si="1"/>
        <v>269</v>
      </c>
      <c r="AD16" s="34">
        <f t="shared" si="1"/>
        <v>106</v>
      </c>
      <c r="AE16" s="34">
        <f t="shared" si="1"/>
        <v>99</v>
      </c>
      <c r="AF16" s="34">
        <f t="shared" si="1"/>
        <v>63</v>
      </c>
      <c r="AG16" s="34">
        <f t="shared" si="1"/>
        <v>92</v>
      </c>
    </row>
    <row r="17" spans="1:33" x14ac:dyDescent="0.1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33" x14ac:dyDescent="0.1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1:33" x14ac:dyDescent="0.15">
      <c r="A19" s="34" t="s">
        <v>23</v>
      </c>
      <c r="B19" s="34" t="s">
        <v>24</v>
      </c>
      <c r="C19" s="34" t="s">
        <v>24</v>
      </c>
      <c r="D19" s="34" t="s">
        <v>24</v>
      </c>
      <c r="E19" s="34" t="s">
        <v>24</v>
      </c>
      <c r="F19" s="34" t="s">
        <v>24</v>
      </c>
      <c r="G19" s="34" t="s">
        <v>24</v>
      </c>
      <c r="H19" s="34" t="s">
        <v>24</v>
      </c>
      <c r="I19" s="34" t="s">
        <v>24</v>
      </c>
      <c r="J19" s="34" t="s">
        <v>24</v>
      </c>
      <c r="K19" s="34" t="s">
        <v>24</v>
      </c>
      <c r="L19" s="34" t="s">
        <v>24</v>
      </c>
      <c r="M19" s="34" t="s">
        <v>24</v>
      </c>
      <c r="N19" s="34" t="s">
        <v>24</v>
      </c>
      <c r="O19" s="34" t="s">
        <v>24</v>
      </c>
      <c r="P19" s="34" t="s">
        <v>24</v>
      </c>
      <c r="Q19" s="34" t="s">
        <v>24</v>
      </c>
      <c r="R19" s="34" t="s">
        <v>24</v>
      </c>
      <c r="S19" s="34" t="s">
        <v>24</v>
      </c>
      <c r="T19" s="34" t="s">
        <v>24</v>
      </c>
      <c r="U19" s="34" t="s">
        <v>24</v>
      </c>
      <c r="V19" s="34" t="s">
        <v>24</v>
      </c>
      <c r="W19" s="34" t="s">
        <v>24</v>
      </c>
      <c r="X19" s="34" t="s">
        <v>24</v>
      </c>
      <c r="Y19" s="34" t="s">
        <v>24</v>
      </c>
      <c r="Z19" s="34" t="s">
        <v>24</v>
      </c>
      <c r="AA19" s="34" t="s">
        <v>24</v>
      </c>
      <c r="AB19" s="34" t="s">
        <v>24</v>
      </c>
      <c r="AC19" s="34" t="s">
        <v>24</v>
      </c>
      <c r="AD19" s="34" t="s">
        <v>24</v>
      </c>
      <c r="AE19" s="34" t="s">
        <v>24</v>
      </c>
      <c r="AF19" s="34" t="s">
        <v>24</v>
      </c>
      <c r="AG19" s="34" t="s">
        <v>24</v>
      </c>
    </row>
    <row r="20" spans="1:33" x14ac:dyDescent="0.15">
      <c r="A20" s="34" t="s">
        <v>52</v>
      </c>
      <c r="B20" s="34">
        <f t="shared" ref="B20:B29" si="2">B6/B$16</f>
        <v>0.51925078043704476</v>
      </c>
      <c r="C20" s="34">
        <f t="shared" ref="C20:AG20" si="3">C6/C$16</f>
        <v>0.54154727793696278</v>
      </c>
      <c r="D20" s="34">
        <f t="shared" si="3"/>
        <v>0.52811735941320292</v>
      </c>
      <c r="E20" s="34">
        <f t="shared" si="3"/>
        <v>0.50166112956810627</v>
      </c>
      <c r="F20" s="34">
        <f t="shared" si="3"/>
        <v>0.5</v>
      </c>
      <c r="G20" s="34">
        <f t="shared" si="3"/>
        <v>0.53018372703412076</v>
      </c>
      <c r="H20" s="34">
        <f t="shared" si="3"/>
        <v>0.52750809061488668</v>
      </c>
      <c r="I20" s="34">
        <f t="shared" si="3"/>
        <v>0.50549450549450547</v>
      </c>
      <c r="J20" s="34">
        <f t="shared" si="3"/>
        <v>0.55913978494623651</v>
      </c>
      <c r="K20" s="34">
        <f t="shared" si="3"/>
        <v>0.45794392523364486</v>
      </c>
      <c r="L20" s="34">
        <f t="shared" si="3"/>
        <v>0.53773584905660377</v>
      </c>
      <c r="M20" s="34">
        <f t="shared" si="3"/>
        <v>0.54014598540145986</v>
      </c>
      <c r="N20" s="34">
        <f t="shared" si="3"/>
        <v>0.56140350877192979</v>
      </c>
      <c r="O20" s="34">
        <f t="shared" si="3"/>
        <v>0.52702702702702697</v>
      </c>
      <c r="P20" s="34">
        <f t="shared" si="3"/>
        <v>0.48109965635738833</v>
      </c>
      <c r="Q20" s="34">
        <f t="shared" si="3"/>
        <v>0.51666666666666672</v>
      </c>
      <c r="R20" s="34">
        <f t="shared" si="3"/>
        <v>0.37931034482758619</v>
      </c>
      <c r="S20" s="34">
        <f t="shared" si="3"/>
        <v>0.45454545454545453</v>
      </c>
      <c r="T20" s="34">
        <f t="shared" si="3"/>
        <v>0.48936170212765956</v>
      </c>
      <c r="U20" s="34">
        <f t="shared" si="3"/>
        <v>0.51162790697674421</v>
      </c>
      <c r="V20" s="34">
        <f t="shared" si="3"/>
        <v>0.5662650602409639</v>
      </c>
      <c r="W20" s="34">
        <f t="shared" si="3"/>
        <v>0.52713178294573648</v>
      </c>
      <c r="X20" s="34">
        <f t="shared" si="3"/>
        <v>0.57534246575342463</v>
      </c>
      <c r="Y20" s="34">
        <f t="shared" si="3"/>
        <v>0.57954545454545459</v>
      </c>
      <c r="Z20" s="34">
        <f t="shared" si="3"/>
        <v>0.49342105263157893</v>
      </c>
      <c r="AA20" s="34">
        <f t="shared" si="3"/>
        <v>0.3888888888888889</v>
      </c>
      <c r="AB20" s="34">
        <f t="shared" si="3"/>
        <v>0.42</v>
      </c>
      <c r="AC20" s="34">
        <f t="shared" si="3"/>
        <v>0.49814126394052044</v>
      </c>
      <c r="AD20" s="34">
        <f t="shared" si="3"/>
        <v>0.54716981132075471</v>
      </c>
      <c r="AE20" s="34">
        <f t="shared" si="3"/>
        <v>0.50505050505050508</v>
      </c>
      <c r="AF20" s="34">
        <f t="shared" si="3"/>
        <v>0.50793650793650791</v>
      </c>
      <c r="AG20" s="34">
        <f t="shared" si="3"/>
        <v>0.5</v>
      </c>
    </row>
    <row r="21" spans="1:33" x14ac:dyDescent="0.15">
      <c r="A21" s="34" t="s">
        <v>38</v>
      </c>
      <c r="B21" s="34">
        <f t="shared" si="2"/>
        <v>7.1800208116545264E-2</v>
      </c>
      <c r="C21" s="34">
        <f t="shared" ref="C21:AG21" si="4">C7/C$16</f>
        <v>7.1633237822349566E-2</v>
      </c>
      <c r="D21" s="34">
        <f t="shared" si="4"/>
        <v>7.3349633251833746E-2</v>
      </c>
      <c r="E21" s="34">
        <f t="shared" si="4"/>
        <v>4.9833887043189369E-2</v>
      </c>
      <c r="F21" s="34">
        <f t="shared" si="4"/>
        <v>4.4117647058823532E-2</v>
      </c>
      <c r="G21" s="34">
        <f t="shared" si="4"/>
        <v>5.774278215223097E-2</v>
      </c>
      <c r="H21" s="34">
        <f t="shared" si="4"/>
        <v>7.4433656957928807E-2</v>
      </c>
      <c r="I21" s="34">
        <f t="shared" si="4"/>
        <v>3.2967032967032968E-2</v>
      </c>
      <c r="J21" s="34">
        <f t="shared" si="4"/>
        <v>4.3010752688172046E-2</v>
      </c>
      <c r="K21" s="34">
        <f t="shared" si="4"/>
        <v>0.10280373831775701</v>
      </c>
      <c r="L21" s="34">
        <f t="shared" si="4"/>
        <v>9.4339622641509441E-2</v>
      </c>
      <c r="M21" s="34">
        <f t="shared" si="4"/>
        <v>5.8394160583941604E-2</v>
      </c>
      <c r="N21" s="34">
        <f t="shared" si="4"/>
        <v>5.2631578947368418E-2</v>
      </c>
      <c r="O21" s="34">
        <f t="shared" si="4"/>
        <v>8.1081081081081086E-2</v>
      </c>
      <c r="P21" s="34">
        <f t="shared" si="4"/>
        <v>8.9347079037800689E-2</v>
      </c>
      <c r="Q21" s="34">
        <f t="shared" si="4"/>
        <v>4.1666666666666664E-2</v>
      </c>
      <c r="R21" s="34">
        <f t="shared" si="4"/>
        <v>3.4482758620689655E-2</v>
      </c>
      <c r="S21" s="34">
        <f t="shared" si="4"/>
        <v>0.10606060606060606</v>
      </c>
      <c r="T21" s="34">
        <f t="shared" si="4"/>
        <v>8.1560283687943269E-2</v>
      </c>
      <c r="U21" s="34">
        <f t="shared" si="4"/>
        <v>8.1395348837209308E-2</v>
      </c>
      <c r="V21" s="34">
        <f t="shared" si="4"/>
        <v>6.0240963855421686E-2</v>
      </c>
      <c r="W21" s="34">
        <f t="shared" si="4"/>
        <v>3.1007751937984496E-2</v>
      </c>
      <c r="X21" s="34">
        <f t="shared" si="4"/>
        <v>0.10273972602739725</v>
      </c>
      <c r="Y21" s="34">
        <f t="shared" si="4"/>
        <v>5.6818181818181816E-2</v>
      </c>
      <c r="Z21" s="34">
        <f t="shared" si="4"/>
        <v>9.8684210526315791E-2</v>
      </c>
      <c r="AA21" s="34">
        <f t="shared" si="4"/>
        <v>0.14814814814814814</v>
      </c>
      <c r="AB21" s="34">
        <f t="shared" si="4"/>
        <v>0.12</v>
      </c>
      <c r="AC21" s="34">
        <f t="shared" si="4"/>
        <v>6.6914498141263934E-2</v>
      </c>
      <c r="AD21" s="34">
        <f t="shared" si="4"/>
        <v>9.4339622641509441E-2</v>
      </c>
      <c r="AE21" s="34">
        <f t="shared" si="4"/>
        <v>9.0909090909090912E-2</v>
      </c>
      <c r="AF21" s="34">
        <f t="shared" si="4"/>
        <v>6.3492063492063489E-2</v>
      </c>
      <c r="AG21" s="34">
        <f t="shared" si="4"/>
        <v>6.5217391304347824E-2</v>
      </c>
    </row>
    <row r="22" spans="1:33" x14ac:dyDescent="0.15">
      <c r="A22" s="34" t="s">
        <v>53</v>
      </c>
      <c r="B22" s="34">
        <f t="shared" si="2"/>
        <v>4.0062434963579606E-2</v>
      </c>
      <c r="C22" s="34">
        <f t="shared" ref="C22:AG22" si="5">C8/C$16</f>
        <v>4.2979942693409739E-2</v>
      </c>
      <c r="D22" s="34">
        <f t="shared" si="5"/>
        <v>3.9119804400977995E-2</v>
      </c>
      <c r="E22" s="34">
        <f t="shared" si="5"/>
        <v>7.3089700996677748E-2</v>
      </c>
      <c r="F22" s="34">
        <f t="shared" si="5"/>
        <v>5.8823529411764705E-2</v>
      </c>
      <c r="G22" s="34">
        <f t="shared" si="5"/>
        <v>4.4619422572178477E-2</v>
      </c>
      <c r="H22" s="34">
        <f t="shared" si="5"/>
        <v>5.1779935275080909E-2</v>
      </c>
      <c r="I22" s="34">
        <f t="shared" si="5"/>
        <v>7.6923076923076927E-2</v>
      </c>
      <c r="J22" s="34">
        <f t="shared" si="5"/>
        <v>3.2258064516129031E-2</v>
      </c>
      <c r="K22" s="34">
        <f t="shared" si="5"/>
        <v>9.3457943925233638E-3</v>
      </c>
      <c r="L22" s="34">
        <f t="shared" si="5"/>
        <v>4.716981132075472E-2</v>
      </c>
      <c r="M22" s="34">
        <f t="shared" si="5"/>
        <v>3.6496350364963501E-2</v>
      </c>
      <c r="N22" s="34">
        <f t="shared" si="5"/>
        <v>0</v>
      </c>
      <c r="O22" s="34">
        <f t="shared" si="5"/>
        <v>4.0540540540540543E-2</v>
      </c>
      <c r="P22" s="34">
        <f t="shared" si="5"/>
        <v>8.247422680412371E-2</v>
      </c>
      <c r="Q22" s="34">
        <f t="shared" si="5"/>
        <v>0.05</v>
      </c>
      <c r="R22" s="34">
        <f t="shared" si="5"/>
        <v>5.1724137931034482E-2</v>
      </c>
      <c r="S22" s="34">
        <f t="shared" si="5"/>
        <v>6.0606060606060608E-2</v>
      </c>
      <c r="T22" s="34">
        <f t="shared" si="5"/>
        <v>3.9007092198581561E-2</v>
      </c>
      <c r="U22" s="34">
        <f t="shared" si="5"/>
        <v>2.3255813953488372E-2</v>
      </c>
      <c r="V22" s="34">
        <f t="shared" si="5"/>
        <v>2.4096385542168676E-2</v>
      </c>
      <c r="W22" s="34">
        <f t="shared" si="5"/>
        <v>2.3255813953488372E-2</v>
      </c>
      <c r="X22" s="34">
        <f t="shared" si="5"/>
        <v>4.1095890410958902E-2</v>
      </c>
      <c r="Y22" s="34">
        <f t="shared" si="5"/>
        <v>4.5454545454545456E-2</v>
      </c>
      <c r="Z22" s="34">
        <f t="shared" si="5"/>
        <v>6.5789473684210523E-2</v>
      </c>
      <c r="AA22" s="34">
        <f t="shared" si="5"/>
        <v>0.1111111111111111</v>
      </c>
      <c r="AB22" s="34">
        <f t="shared" si="5"/>
        <v>0.06</v>
      </c>
      <c r="AC22" s="34">
        <f t="shared" si="5"/>
        <v>5.5762081784386616E-2</v>
      </c>
      <c r="AD22" s="34">
        <f t="shared" si="5"/>
        <v>3.7735849056603772E-2</v>
      </c>
      <c r="AE22" s="34">
        <f t="shared" si="5"/>
        <v>0</v>
      </c>
      <c r="AF22" s="34">
        <f t="shared" si="5"/>
        <v>7.9365079365079361E-2</v>
      </c>
      <c r="AG22" s="34">
        <f t="shared" si="5"/>
        <v>7.6086956521739135E-2</v>
      </c>
    </row>
    <row r="23" spans="1:33" x14ac:dyDescent="0.15">
      <c r="A23" s="34" t="s">
        <v>54</v>
      </c>
      <c r="B23" s="34">
        <f t="shared" si="2"/>
        <v>4.0582726326742979E-2</v>
      </c>
      <c r="C23" s="34">
        <f t="shared" ref="C23:AG23" si="6">C9/C$16</f>
        <v>4.5845272206303724E-2</v>
      </c>
      <c r="D23" s="34">
        <f t="shared" si="6"/>
        <v>4.2787286063569685E-2</v>
      </c>
      <c r="E23" s="34">
        <f t="shared" si="6"/>
        <v>2.9900332225913623E-2</v>
      </c>
      <c r="F23" s="34">
        <f t="shared" si="6"/>
        <v>1.9607843137254902E-2</v>
      </c>
      <c r="G23" s="34">
        <f t="shared" si="6"/>
        <v>3.937007874015748E-2</v>
      </c>
      <c r="H23" s="34">
        <f t="shared" si="6"/>
        <v>4.5307443365695796E-2</v>
      </c>
      <c r="I23" s="34">
        <f t="shared" si="6"/>
        <v>3.2967032967032968E-2</v>
      </c>
      <c r="J23" s="34">
        <f t="shared" si="6"/>
        <v>3.2258064516129031E-2</v>
      </c>
      <c r="K23" s="34">
        <f t="shared" si="6"/>
        <v>2.8037383177570093E-2</v>
      </c>
      <c r="L23" s="34">
        <f t="shared" si="6"/>
        <v>6.6037735849056603E-2</v>
      </c>
      <c r="M23" s="34">
        <f t="shared" si="6"/>
        <v>3.6496350364963501E-2</v>
      </c>
      <c r="N23" s="34">
        <f t="shared" si="6"/>
        <v>5.2631578947368418E-2</v>
      </c>
      <c r="O23" s="34">
        <f t="shared" si="6"/>
        <v>6.7567567567567571E-2</v>
      </c>
      <c r="P23" s="34">
        <f t="shared" si="6"/>
        <v>4.1237113402061855E-2</v>
      </c>
      <c r="Q23" s="34">
        <f t="shared" si="6"/>
        <v>0.05</v>
      </c>
      <c r="R23" s="34">
        <f t="shared" si="6"/>
        <v>3.4482758620689655E-2</v>
      </c>
      <c r="S23" s="34">
        <f t="shared" si="6"/>
        <v>3.0303030303030304E-2</v>
      </c>
      <c r="T23" s="34">
        <f t="shared" si="6"/>
        <v>3.5460992907801421E-2</v>
      </c>
      <c r="U23" s="34">
        <f t="shared" si="6"/>
        <v>6.9767441860465115E-2</v>
      </c>
      <c r="V23" s="34">
        <f t="shared" si="6"/>
        <v>6.0240963855421686E-2</v>
      </c>
      <c r="W23" s="34">
        <f t="shared" si="6"/>
        <v>6.9767441860465115E-2</v>
      </c>
      <c r="X23" s="34">
        <f t="shared" si="6"/>
        <v>4.1095890410958902E-2</v>
      </c>
      <c r="Y23" s="34">
        <f t="shared" si="6"/>
        <v>0</v>
      </c>
      <c r="Z23" s="34">
        <f t="shared" si="6"/>
        <v>5.2631578947368418E-2</v>
      </c>
      <c r="AA23" s="34">
        <f t="shared" si="6"/>
        <v>3.7037037037037035E-2</v>
      </c>
      <c r="AB23" s="34">
        <f t="shared" si="6"/>
        <v>0.06</v>
      </c>
      <c r="AC23" s="34">
        <f t="shared" si="6"/>
        <v>2.6022304832713755E-2</v>
      </c>
      <c r="AD23" s="34">
        <f t="shared" si="6"/>
        <v>3.7735849056603772E-2</v>
      </c>
      <c r="AE23" s="34">
        <f t="shared" si="6"/>
        <v>3.0303030303030304E-2</v>
      </c>
      <c r="AF23" s="34">
        <f t="shared" si="6"/>
        <v>4.7619047619047616E-2</v>
      </c>
      <c r="AG23" s="34">
        <f t="shared" si="6"/>
        <v>1.0869565217391304E-2</v>
      </c>
    </row>
    <row r="24" spans="1:33" x14ac:dyDescent="0.15">
      <c r="A24" s="34" t="s">
        <v>55</v>
      </c>
      <c r="B24" s="34">
        <f t="shared" si="2"/>
        <v>4.4745057232049947E-2</v>
      </c>
      <c r="C24" s="34">
        <f t="shared" ref="C24:AG24" si="7">C10/C$16</f>
        <v>4.5845272206303724E-2</v>
      </c>
      <c r="D24" s="34">
        <f t="shared" si="7"/>
        <v>4.0342298288508556E-2</v>
      </c>
      <c r="E24" s="34">
        <f t="shared" si="7"/>
        <v>2.6578073089700997E-2</v>
      </c>
      <c r="F24" s="34">
        <f t="shared" si="7"/>
        <v>2.4509803921568627E-2</v>
      </c>
      <c r="G24" s="34">
        <f t="shared" si="7"/>
        <v>4.9868766404199474E-2</v>
      </c>
      <c r="H24" s="34">
        <f t="shared" si="7"/>
        <v>3.5598705501618123E-2</v>
      </c>
      <c r="I24" s="34">
        <f t="shared" si="7"/>
        <v>3.2967032967032968E-2</v>
      </c>
      <c r="J24" s="34">
        <f t="shared" si="7"/>
        <v>3.2258064516129031E-2</v>
      </c>
      <c r="K24" s="34">
        <f t="shared" si="7"/>
        <v>1.8691588785046728E-2</v>
      </c>
      <c r="L24" s="34">
        <f t="shared" si="7"/>
        <v>4.716981132075472E-2</v>
      </c>
      <c r="M24" s="34">
        <f t="shared" si="7"/>
        <v>5.8394160583941604E-2</v>
      </c>
      <c r="N24" s="34">
        <f t="shared" si="7"/>
        <v>0.12280701754385964</v>
      </c>
      <c r="O24" s="34">
        <f t="shared" si="7"/>
        <v>4.0540540540540543E-2</v>
      </c>
      <c r="P24" s="34">
        <f t="shared" si="7"/>
        <v>5.1546391752577317E-2</v>
      </c>
      <c r="Q24" s="34">
        <f t="shared" si="7"/>
        <v>6.6666666666666666E-2</v>
      </c>
      <c r="R24" s="34">
        <f t="shared" si="7"/>
        <v>0.10344827586206896</v>
      </c>
      <c r="S24" s="34">
        <f t="shared" si="7"/>
        <v>4.5454545454545456E-2</v>
      </c>
      <c r="T24" s="34">
        <f t="shared" si="7"/>
        <v>3.9007092198581561E-2</v>
      </c>
      <c r="U24" s="34">
        <f t="shared" si="7"/>
        <v>3.4883720930232558E-2</v>
      </c>
      <c r="V24" s="34">
        <f t="shared" si="7"/>
        <v>2.4096385542168676E-2</v>
      </c>
      <c r="W24" s="34">
        <f t="shared" si="7"/>
        <v>8.5271317829457363E-2</v>
      </c>
      <c r="X24" s="34">
        <f t="shared" si="7"/>
        <v>2.7397260273972601E-2</v>
      </c>
      <c r="Y24" s="34">
        <f t="shared" si="7"/>
        <v>2.2727272727272728E-2</v>
      </c>
      <c r="Z24" s="34">
        <f t="shared" si="7"/>
        <v>1.9736842105263157E-2</v>
      </c>
      <c r="AA24" s="34">
        <f t="shared" si="7"/>
        <v>1.8518518518518517E-2</v>
      </c>
      <c r="AB24" s="34">
        <f t="shared" si="7"/>
        <v>0</v>
      </c>
      <c r="AC24" s="34">
        <f t="shared" si="7"/>
        <v>4.0892193308550186E-2</v>
      </c>
      <c r="AD24" s="34">
        <f t="shared" si="7"/>
        <v>7.5471698113207544E-2</v>
      </c>
      <c r="AE24" s="34">
        <f t="shared" si="7"/>
        <v>4.0404040404040407E-2</v>
      </c>
      <c r="AF24" s="34">
        <f t="shared" si="7"/>
        <v>1.5873015873015872E-2</v>
      </c>
      <c r="AG24" s="34">
        <f t="shared" si="7"/>
        <v>3.2608695652173912E-2</v>
      </c>
    </row>
    <row r="25" spans="1:33" x14ac:dyDescent="0.15">
      <c r="A25" s="34" t="s">
        <v>56</v>
      </c>
      <c r="B25" s="34">
        <f t="shared" si="2"/>
        <v>3.3298647242455778E-2</v>
      </c>
      <c r="C25" s="34">
        <f t="shared" ref="C25:AG25" si="8">C11/C$16</f>
        <v>3.4383954154727794E-2</v>
      </c>
      <c r="D25" s="34">
        <f t="shared" si="8"/>
        <v>4.0342298288508556E-2</v>
      </c>
      <c r="E25" s="34">
        <f t="shared" si="8"/>
        <v>6.6445182724252497E-2</v>
      </c>
      <c r="F25" s="34">
        <f t="shared" si="8"/>
        <v>5.3921568627450983E-2</v>
      </c>
      <c r="G25" s="34">
        <f t="shared" si="8"/>
        <v>3.1496062992125984E-2</v>
      </c>
      <c r="H25" s="34">
        <f t="shared" si="8"/>
        <v>1.6181229773462782E-2</v>
      </c>
      <c r="I25" s="34">
        <f t="shared" si="8"/>
        <v>5.4945054945054944E-2</v>
      </c>
      <c r="J25" s="34">
        <f t="shared" si="8"/>
        <v>1.0752688172043012E-2</v>
      </c>
      <c r="K25" s="34">
        <f t="shared" si="8"/>
        <v>5.6074766355140186E-2</v>
      </c>
      <c r="L25" s="34">
        <f t="shared" si="8"/>
        <v>4.716981132075472E-2</v>
      </c>
      <c r="M25" s="34">
        <f t="shared" si="8"/>
        <v>7.2992700729927005E-3</v>
      </c>
      <c r="N25" s="34">
        <f t="shared" si="8"/>
        <v>5.2631578947368418E-2</v>
      </c>
      <c r="O25" s="34">
        <f t="shared" si="8"/>
        <v>4.0540540540540543E-2</v>
      </c>
      <c r="P25" s="34">
        <f t="shared" si="8"/>
        <v>1.0309278350515464E-2</v>
      </c>
      <c r="Q25" s="34">
        <f t="shared" si="8"/>
        <v>1.6666666666666666E-2</v>
      </c>
      <c r="R25" s="34">
        <f t="shared" si="8"/>
        <v>5.1724137931034482E-2</v>
      </c>
      <c r="S25" s="34">
        <f t="shared" si="8"/>
        <v>6.0606060606060608E-2</v>
      </c>
      <c r="T25" s="34">
        <f t="shared" si="8"/>
        <v>3.1914893617021274E-2</v>
      </c>
      <c r="U25" s="34">
        <f t="shared" si="8"/>
        <v>0</v>
      </c>
      <c r="V25" s="34">
        <f t="shared" si="8"/>
        <v>2.4096385542168676E-2</v>
      </c>
      <c r="W25" s="34">
        <f t="shared" si="8"/>
        <v>3.1007751937984496E-2</v>
      </c>
      <c r="X25" s="34">
        <f t="shared" si="8"/>
        <v>2.7397260273972601E-2</v>
      </c>
      <c r="Y25" s="34">
        <f t="shared" si="8"/>
        <v>0</v>
      </c>
      <c r="Z25" s="34">
        <f t="shared" si="8"/>
        <v>1.3157894736842105E-2</v>
      </c>
      <c r="AA25" s="34">
        <f t="shared" si="8"/>
        <v>0</v>
      </c>
      <c r="AB25" s="34">
        <f t="shared" si="8"/>
        <v>0.02</v>
      </c>
      <c r="AC25" s="34">
        <f t="shared" si="8"/>
        <v>2.9739776951672861E-2</v>
      </c>
      <c r="AD25" s="34">
        <f t="shared" si="8"/>
        <v>2.8301886792452831E-2</v>
      </c>
      <c r="AE25" s="34">
        <f t="shared" si="8"/>
        <v>4.0404040404040407E-2</v>
      </c>
      <c r="AF25" s="34">
        <f t="shared" si="8"/>
        <v>4.7619047619047616E-2</v>
      </c>
      <c r="AG25" s="34">
        <f t="shared" si="8"/>
        <v>7.6086956521739135E-2</v>
      </c>
    </row>
    <row r="26" spans="1:33" x14ac:dyDescent="0.15">
      <c r="A26" s="34" t="s">
        <v>57</v>
      </c>
      <c r="B26" s="34">
        <f t="shared" si="2"/>
        <v>2.9656607700312174E-2</v>
      </c>
      <c r="C26" s="34">
        <f t="shared" ref="C26:AG26" si="9">C12/C$16</f>
        <v>2.865329512893983E-2</v>
      </c>
      <c r="D26" s="34">
        <f t="shared" si="9"/>
        <v>3.1784841075794622E-2</v>
      </c>
      <c r="E26" s="34">
        <f t="shared" si="9"/>
        <v>3.3222591362126248E-2</v>
      </c>
      <c r="F26" s="34">
        <f t="shared" si="9"/>
        <v>1.9607843137254902E-2</v>
      </c>
      <c r="G26" s="34">
        <f t="shared" si="9"/>
        <v>2.6246719160104987E-2</v>
      </c>
      <c r="H26" s="34">
        <f t="shared" si="9"/>
        <v>2.9126213592233011E-2</v>
      </c>
      <c r="I26" s="34">
        <f t="shared" si="9"/>
        <v>2.197802197802198E-2</v>
      </c>
      <c r="J26" s="34">
        <f t="shared" si="9"/>
        <v>2.1505376344086023E-2</v>
      </c>
      <c r="K26" s="34">
        <f t="shared" si="9"/>
        <v>7.476635514018691E-2</v>
      </c>
      <c r="L26" s="34">
        <f t="shared" si="9"/>
        <v>3.7735849056603772E-2</v>
      </c>
      <c r="M26" s="34">
        <f t="shared" si="9"/>
        <v>4.3795620437956206E-2</v>
      </c>
      <c r="N26" s="34">
        <f t="shared" si="9"/>
        <v>5.2631578947368418E-2</v>
      </c>
      <c r="O26" s="34">
        <f t="shared" si="9"/>
        <v>1.3513513513513514E-2</v>
      </c>
      <c r="P26" s="34">
        <f t="shared" si="9"/>
        <v>2.7491408934707903E-2</v>
      </c>
      <c r="Q26" s="34">
        <f t="shared" si="9"/>
        <v>3.3333333333333333E-2</v>
      </c>
      <c r="R26" s="34">
        <f t="shared" si="9"/>
        <v>6.8965517241379309E-2</v>
      </c>
      <c r="S26" s="34">
        <f t="shared" si="9"/>
        <v>0</v>
      </c>
      <c r="T26" s="34">
        <f t="shared" si="9"/>
        <v>3.5460992907801421E-2</v>
      </c>
      <c r="U26" s="34">
        <f t="shared" si="9"/>
        <v>3.4883720930232558E-2</v>
      </c>
      <c r="V26" s="34">
        <f t="shared" si="9"/>
        <v>2.4096385542168676E-2</v>
      </c>
      <c r="W26" s="34">
        <f t="shared" si="9"/>
        <v>3.1007751937984496E-2</v>
      </c>
      <c r="X26" s="34">
        <f t="shared" si="9"/>
        <v>2.0547945205479451E-2</v>
      </c>
      <c r="Y26" s="34">
        <f t="shared" si="9"/>
        <v>2.2727272727272728E-2</v>
      </c>
      <c r="Z26" s="34">
        <f t="shared" si="9"/>
        <v>1.9736842105263157E-2</v>
      </c>
      <c r="AA26" s="34">
        <f t="shared" si="9"/>
        <v>1.8518518518518517E-2</v>
      </c>
      <c r="AB26" s="34">
        <f t="shared" si="9"/>
        <v>0.06</v>
      </c>
      <c r="AC26" s="34">
        <f t="shared" si="9"/>
        <v>3.3457249070631967E-2</v>
      </c>
      <c r="AD26" s="34">
        <f t="shared" si="9"/>
        <v>9.433962264150943E-3</v>
      </c>
      <c r="AE26" s="34">
        <f t="shared" si="9"/>
        <v>2.0202020202020204E-2</v>
      </c>
      <c r="AF26" s="34">
        <f t="shared" si="9"/>
        <v>3.1746031746031744E-2</v>
      </c>
      <c r="AG26" s="34">
        <f t="shared" si="9"/>
        <v>6.5217391304347824E-2</v>
      </c>
    </row>
    <row r="27" spans="1:33" x14ac:dyDescent="0.15">
      <c r="A27" s="34" t="s">
        <v>58</v>
      </c>
      <c r="B27" s="34">
        <f t="shared" si="2"/>
        <v>2.8616024973985431E-2</v>
      </c>
      <c r="C27" s="34">
        <f t="shared" ref="C27:AG27" si="10">C13/C$16</f>
        <v>2.148997134670487E-2</v>
      </c>
      <c r="D27" s="34">
        <f t="shared" si="10"/>
        <v>1.3447432762836185E-2</v>
      </c>
      <c r="E27" s="34">
        <f t="shared" si="10"/>
        <v>2.9900332225913623E-2</v>
      </c>
      <c r="F27" s="34">
        <f t="shared" si="10"/>
        <v>3.4313725490196081E-2</v>
      </c>
      <c r="G27" s="34">
        <f t="shared" si="10"/>
        <v>2.0997375328083989E-2</v>
      </c>
      <c r="H27" s="34">
        <f t="shared" si="10"/>
        <v>2.9126213592233011E-2</v>
      </c>
      <c r="I27" s="34">
        <f t="shared" si="10"/>
        <v>3.2967032967032968E-2</v>
      </c>
      <c r="J27" s="34">
        <f t="shared" si="10"/>
        <v>3.2258064516129031E-2</v>
      </c>
      <c r="K27" s="34">
        <f t="shared" si="10"/>
        <v>4.6728971962616821E-2</v>
      </c>
      <c r="L27" s="34">
        <f t="shared" si="10"/>
        <v>9.433962264150943E-3</v>
      </c>
      <c r="M27" s="34">
        <f t="shared" si="10"/>
        <v>3.6496350364963501E-2</v>
      </c>
      <c r="N27" s="34">
        <f t="shared" si="10"/>
        <v>1.7543859649122806E-2</v>
      </c>
      <c r="O27" s="34">
        <f t="shared" si="10"/>
        <v>1.3513513513513514E-2</v>
      </c>
      <c r="P27" s="34">
        <f t="shared" si="10"/>
        <v>4.1237113402061855E-2</v>
      </c>
      <c r="Q27" s="34">
        <f t="shared" si="10"/>
        <v>4.1666666666666664E-2</v>
      </c>
      <c r="R27" s="34">
        <f t="shared" si="10"/>
        <v>0</v>
      </c>
      <c r="S27" s="34">
        <f t="shared" si="10"/>
        <v>0</v>
      </c>
      <c r="T27" s="34">
        <f t="shared" si="10"/>
        <v>4.9645390070921988E-2</v>
      </c>
      <c r="U27" s="34">
        <f t="shared" si="10"/>
        <v>3.4883720930232558E-2</v>
      </c>
      <c r="V27" s="34">
        <f t="shared" si="10"/>
        <v>2.4096385542168676E-2</v>
      </c>
      <c r="W27" s="34">
        <f t="shared" si="10"/>
        <v>2.3255813953488372E-2</v>
      </c>
      <c r="X27" s="34">
        <f t="shared" si="10"/>
        <v>6.8493150684931503E-3</v>
      </c>
      <c r="Y27" s="34">
        <f t="shared" si="10"/>
        <v>2.2727272727272728E-2</v>
      </c>
      <c r="Z27" s="34">
        <f t="shared" si="10"/>
        <v>2.6315789473684209E-2</v>
      </c>
      <c r="AA27" s="34">
        <f t="shared" si="10"/>
        <v>7.407407407407407E-2</v>
      </c>
      <c r="AB27" s="34">
        <f t="shared" si="10"/>
        <v>0.04</v>
      </c>
      <c r="AC27" s="34">
        <f t="shared" si="10"/>
        <v>3.717472118959108E-2</v>
      </c>
      <c r="AD27" s="34">
        <f t="shared" si="10"/>
        <v>3.7735849056603772E-2</v>
      </c>
      <c r="AE27" s="34">
        <f t="shared" si="10"/>
        <v>2.0202020202020204E-2</v>
      </c>
      <c r="AF27" s="34">
        <f t="shared" si="10"/>
        <v>3.1746031746031744E-2</v>
      </c>
      <c r="AG27" s="34">
        <f t="shared" si="10"/>
        <v>2.1739130434782608E-2</v>
      </c>
    </row>
    <row r="28" spans="1:33" x14ac:dyDescent="0.15">
      <c r="A28" s="34" t="s">
        <v>59</v>
      </c>
      <c r="B28" s="34">
        <f t="shared" si="2"/>
        <v>4.9947970863683661E-2</v>
      </c>
      <c r="C28" s="34">
        <f t="shared" ref="C28:AG28" si="11">C14/C$16</f>
        <v>3.151862464183381E-2</v>
      </c>
      <c r="D28" s="34">
        <f t="shared" si="11"/>
        <v>4.1564792176039117E-2</v>
      </c>
      <c r="E28" s="34">
        <f t="shared" si="11"/>
        <v>5.3156146179401995E-2</v>
      </c>
      <c r="F28" s="34">
        <f t="shared" si="11"/>
        <v>7.3529411764705885E-2</v>
      </c>
      <c r="G28" s="34">
        <f t="shared" si="11"/>
        <v>4.4619422572178477E-2</v>
      </c>
      <c r="H28" s="34">
        <f t="shared" si="11"/>
        <v>4.5307443365695796E-2</v>
      </c>
      <c r="I28" s="34">
        <f t="shared" si="11"/>
        <v>6.5934065934065936E-2</v>
      </c>
      <c r="J28" s="34">
        <f t="shared" si="11"/>
        <v>1.0752688172043012E-2</v>
      </c>
      <c r="K28" s="34">
        <f t="shared" si="11"/>
        <v>7.476635514018691E-2</v>
      </c>
      <c r="L28" s="34">
        <f t="shared" si="11"/>
        <v>1.8867924528301886E-2</v>
      </c>
      <c r="M28" s="34">
        <f t="shared" si="11"/>
        <v>5.8394160583941604E-2</v>
      </c>
      <c r="N28" s="34">
        <f t="shared" si="11"/>
        <v>3.5087719298245612E-2</v>
      </c>
      <c r="O28" s="34">
        <f t="shared" si="11"/>
        <v>5.4054054054054057E-2</v>
      </c>
      <c r="P28" s="34">
        <f t="shared" si="11"/>
        <v>2.4054982817869417E-2</v>
      </c>
      <c r="Q28" s="34">
        <f t="shared" si="11"/>
        <v>0.05</v>
      </c>
      <c r="R28" s="34">
        <f t="shared" si="11"/>
        <v>5.1724137931034482E-2</v>
      </c>
      <c r="S28" s="34">
        <f t="shared" si="11"/>
        <v>6.0606060606060608E-2</v>
      </c>
      <c r="T28" s="34">
        <f t="shared" si="11"/>
        <v>4.9645390070921988E-2</v>
      </c>
      <c r="U28" s="34">
        <f t="shared" si="11"/>
        <v>1.1627906976744186E-2</v>
      </c>
      <c r="V28" s="34">
        <f t="shared" si="11"/>
        <v>4.8192771084337352E-2</v>
      </c>
      <c r="W28" s="34">
        <f t="shared" si="11"/>
        <v>2.3255813953488372E-2</v>
      </c>
      <c r="X28" s="34">
        <f t="shared" si="11"/>
        <v>4.1095890410958902E-2</v>
      </c>
      <c r="Y28" s="34">
        <f t="shared" si="11"/>
        <v>6.8181818181818177E-2</v>
      </c>
      <c r="Z28" s="34">
        <f t="shared" si="11"/>
        <v>5.921052631578947E-2</v>
      </c>
      <c r="AA28" s="34">
        <f t="shared" si="11"/>
        <v>3.7037037037037035E-2</v>
      </c>
      <c r="AB28" s="34">
        <f t="shared" si="11"/>
        <v>0.12</v>
      </c>
      <c r="AC28" s="34">
        <f t="shared" si="11"/>
        <v>5.9479553903345722E-2</v>
      </c>
      <c r="AD28" s="34">
        <f t="shared" si="11"/>
        <v>3.7735849056603772E-2</v>
      </c>
      <c r="AE28" s="34">
        <f t="shared" si="11"/>
        <v>6.0606060606060608E-2</v>
      </c>
      <c r="AF28" s="34">
        <f t="shared" si="11"/>
        <v>7.9365079365079361E-2</v>
      </c>
      <c r="AG28" s="34">
        <f t="shared" si="11"/>
        <v>1.0869565217391304E-2</v>
      </c>
    </row>
    <row r="29" spans="1:33" x14ac:dyDescent="0.15">
      <c r="A29" s="34" t="s">
        <v>60</v>
      </c>
      <c r="B29" s="34">
        <f t="shared" si="2"/>
        <v>0.14203954214360043</v>
      </c>
      <c r="C29" s="34">
        <f t="shared" ref="C29:AG29" si="12">C15/C$16</f>
        <v>0.13610315186246419</v>
      </c>
      <c r="D29" s="34">
        <f t="shared" si="12"/>
        <v>0.1491442542787286</v>
      </c>
      <c r="E29" s="34">
        <f t="shared" si="12"/>
        <v>0.13621262458471761</v>
      </c>
      <c r="F29" s="34">
        <f t="shared" si="12"/>
        <v>0.17156862745098039</v>
      </c>
      <c r="G29" s="34">
        <f t="shared" si="12"/>
        <v>0.15485564304461943</v>
      </c>
      <c r="H29" s="34">
        <f t="shared" si="12"/>
        <v>0.14563106796116504</v>
      </c>
      <c r="I29" s="34">
        <f t="shared" si="12"/>
        <v>0.14285714285714285</v>
      </c>
      <c r="J29" s="34">
        <f t="shared" si="12"/>
        <v>0.22580645161290322</v>
      </c>
      <c r="K29" s="34">
        <f t="shared" si="12"/>
        <v>0.13084112149532709</v>
      </c>
      <c r="L29" s="34">
        <f t="shared" si="12"/>
        <v>9.4339622641509441E-2</v>
      </c>
      <c r="M29" s="34">
        <f t="shared" si="12"/>
        <v>0.12408759124087591</v>
      </c>
      <c r="N29" s="34">
        <f t="shared" si="12"/>
        <v>5.2631578947368418E-2</v>
      </c>
      <c r="O29" s="34">
        <f t="shared" si="12"/>
        <v>0.12162162162162163</v>
      </c>
      <c r="P29" s="34">
        <f t="shared" si="12"/>
        <v>0.15120274914089346</v>
      </c>
      <c r="Q29" s="34">
        <f t="shared" si="12"/>
        <v>0.13333333333333333</v>
      </c>
      <c r="R29" s="34">
        <f t="shared" si="12"/>
        <v>0.22413793103448276</v>
      </c>
      <c r="S29" s="34">
        <f t="shared" si="12"/>
        <v>0.18181818181818182</v>
      </c>
      <c r="T29" s="34">
        <f t="shared" si="12"/>
        <v>0.14893617021276595</v>
      </c>
      <c r="U29" s="34">
        <f t="shared" si="12"/>
        <v>0.19767441860465115</v>
      </c>
      <c r="V29" s="34">
        <f t="shared" si="12"/>
        <v>0.14457831325301204</v>
      </c>
      <c r="W29" s="34">
        <f t="shared" si="12"/>
        <v>0.15503875968992248</v>
      </c>
      <c r="X29" s="34">
        <f t="shared" si="12"/>
        <v>0.11643835616438356</v>
      </c>
      <c r="Y29" s="34">
        <f t="shared" si="12"/>
        <v>0.18181818181818182</v>
      </c>
      <c r="Z29" s="34">
        <f t="shared" si="12"/>
        <v>0.15131578947368421</v>
      </c>
      <c r="AA29" s="34">
        <f t="shared" si="12"/>
        <v>0.16666666666666666</v>
      </c>
      <c r="AB29" s="34">
        <f t="shared" si="12"/>
        <v>0.1</v>
      </c>
      <c r="AC29" s="34">
        <f t="shared" si="12"/>
        <v>0.15241635687732341</v>
      </c>
      <c r="AD29" s="34">
        <f t="shared" si="12"/>
        <v>9.4339622641509441E-2</v>
      </c>
      <c r="AE29" s="34">
        <f t="shared" si="12"/>
        <v>0.19191919191919191</v>
      </c>
      <c r="AF29" s="34">
        <f t="shared" si="12"/>
        <v>9.5238095238095233E-2</v>
      </c>
      <c r="AG29" s="34">
        <f t="shared" si="12"/>
        <v>0.14130434782608695</v>
      </c>
    </row>
    <row r="30" spans="1:33" x14ac:dyDescent="0.15">
      <c r="A30" s="34" t="s">
        <v>78</v>
      </c>
      <c r="B30" s="34">
        <f>187/100</f>
        <v>1.87</v>
      </c>
      <c r="C30" s="34">
        <f>21/20</f>
        <v>1.05</v>
      </c>
      <c r="D30" s="34">
        <f>147/100</f>
        <v>1.47</v>
      </c>
      <c r="E30" s="34">
        <f>257/100</f>
        <v>2.57</v>
      </c>
      <c r="F30" s="34">
        <f>493/100</f>
        <v>4.93</v>
      </c>
      <c r="G30" s="34">
        <f>157/100</f>
        <v>1.57</v>
      </c>
      <c r="H30" s="34">
        <f>147/100</f>
        <v>1.47</v>
      </c>
      <c r="I30" s="34">
        <f>283/100</f>
        <v>2.83</v>
      </c>
      <c r="J30" s="34">
        <f>117/100</f>
        <v>1.17</v>
      </c>
      <c r="K30" s="34">
        <f xml:space="preserve"> 519/100</f>
        <v>5.19</v>
      </c>
      <c r="L30" s="34">
        <f>17/20</f>
        <v>0.85</v>
      </c>
      <c r="M30" s="34">
        <f>31/25</f>
        <v>1.24</v>
      </c>
      <c r="N30" s="34">
        <f xml:space="preserve"> 16/25</f>
        <v>0.64</v>
      </c>
      <c r="O30" s="34">
        <f>127/100</f>
        <v>1.27</v>
      </c>
      <c r="P30" s="34">
        <f>149/50</f>
        <v>2.98</v>
      </c>
      <c r="Q30" s="34">
        <f>49/25</f>
        <v>1.96</v>
      </c>
      <c r="R30" s="35">
        <f>1216/25</f>
        <v>48.64</v>
      </c>
      <c r="S30" s="35">
        <f>1077/100</f>
        <v>10.77</v>
      </c>
      <c r="T30" s="35">
        <f>193/50</f>
        <v>3.86</v>
      </c>
      <c r="U30" s="35">
        <f>487/100</f>
        <v>4.87</v>
      </c>
      <c r="V30" s="35">
        <f>69/100</f>
        <v>0.69</v>
      </c>
      <c r="W30" s="35">
        <f>187/100</f>
        <v>1.87</v>
      </c>
      <c r="X30" s="35">
        <f>33/100</f>
        <v>0.33</v>
      </c>
      <c r="Y30" s="35">
        <f>11/20</f>
        <v>0.55000000000000004</v>
      </c>
      <c r="Z30" s="35">
        <f>283/100</f>
        <v>2.83</v>
      </c>
      <c r="AA30" s="35">
        <f>308/25</f>
        <v>12.32</v>
      </c>
      <c r="AB30" s="35">
        <f>142/25</f>
        <v>5.68</v>
      </c>
      <c r="AC30" s="35">
        <f>18/5</f>
        <v>3.6</v>
      </c>
      <c r="AD30" s="35">
        <f>18/5</f>
        <v>3.6</v>
      </c>
      <c r="AE30" s="35">
        <f>493/100</f>
        <v>4.93</v>
      </c>
      <c r="AF30" s="35">
        <f>187/100</f>
        <v>1.87</v>
      </c>
      <c r="AG30" s="35">
        <f>217/100</f>
        <v>2.17</v>
      </c>
    </row>
    <row r="38" spans="1:11" ht="17" x14ac:dyDescent="0.15">
      <c r="A38" s="42">
        <v>1</v>
      </c>
      <c r="B38">
        <v>0.51925078043704476</v>
      </c>
      <c r="C38">
        <v>7.1800208116545264E-2</v>
      </c>
      <c r="D38">
        <v>4.0062434963579606E-2</v>
      </c>
      <c r="E38">
        <v>4.0582726326742979E-2</v>
      </c>
      <c r="F38">
        <v>4.4745057232049947E-2</v>
      </c>
      <c r="G38">
        <v>3.3298647242455778E-2</v>
      </c>
      <c r="H38">
        <v>2.9656607700312174E-2</v>
      </c>
      <c r="I38">
        <v>2.8616024973985431E-2</v>
      </c>
      <c r="J38">
        <v>4.9947970863683661E-2</v>
      </c>
      <c r="K38">
        <v>0.14203954214360043</v>
      </c>
    </row>
    <row r="39" spans="1:11" ht="17" x14ac:dyDescent="0.15">
      <c r="A39" s="42">
        <v>2</v>
      </c>
      <c r="B39">
        <v>0.54154727793696278</v>
      </c>
      <c r="C39">
        <v>7.1633237822349566E-2</v>
      </c>
      <c r="D39">
        <v>4.2979942693409739E-2</v>
      </c>
      <c r="E39">
        <v>4.5845272206303724E-2</v>
      </c>
      <c r="F39">
        <v>4.5845272206303724E-2</v>
      </c>
      <c r="G39">
        <v>3.4383954154727794E-2</v>
      </c>
      <c r="H39">
        <v>2.865329512893983E-2</v>
      </c>
      <c r="I39">
        <v>2.148997134670487E-2</v>
      </c>
      <c r="J39">
        <v>3.151862464183381E-2</v>
      </c>
      <c r="K39">
        <v>0.13610315186246419</v>
      </c>
    </row>
    <row r="40" spans="1:11" ht="17" x14ac:dyDescent="0.15">
      <c r="A40" s="42">
        <v>3</v>
      </c>
      <c r="B40">
        <v>0.52811735941320292</v>
      </c>
      <c r="C40">
        <v>7.3349633251833746E-2</v>
      </c>
      <c r="D40">
        <v>3.9119804400977995E-2</v>
      </c>
      <c r="E40">
        <v>4.2787286063569685E-2</v>
      </c>
      <c r="F40">
        <v>4.0342298288508556E-2</v>
      </c>
      <c r="G40">
        <v>4.0342298288508556E-2</v>
      </c>
      <c r="H40">
        <v>3.1784841075794622E-2</v>
      </c>
      <c r="I40">
        <v>1.3447432762836185E-2</v>
      </c>
      <c r="J40">
        <v>4.1564792176039117E-2</v>
      </c>
      <c r="K40">
        <v>0.1491442542787286</v>
      </c>
    </row>
    <row r="41" spans="1:11" ht="17" x14ac:dyDescent="0.15">
      <c r="A41" s="42">
        <v>4</v>
      </c>
      <c r="B41">
        <v>0.50166112956810627</v>
      </c>
      <c r="C41">
        <v>4.9833887043189369E-2</v>
      </c>
      <c r="D41">
        <v>7.3089700996677748E-2</v>
      </c>
      <c r="E41">
        <v>2.9900332225913623E-2</v>
      </c>
      <c r="F41">
        <v>2.6578073089700997E-2</v>
      </c>
      <c r="G41">
        <v>6.6445182724252497E-2</v>
      </c>
      <c r="H41">
        <v>3.3222591362126248E-2</v>
      </c>
      <c r="I41">
        <v>2.9900332225913623E-2</v>
      </c>
      <c r="J41">
        <v>5.3156146179401995E-2</v>
      </c>
      <c r="K41">
        <v>0.13621262458471761</v>
      </c>
    </row>
    <row r="42" spans="1:11" ht="17" x14ac:dyDescent="0.15">
      <c r="A42" s="42">
        <v>5</v>
      </c>
      <c r="B42">
        <v>0.5</v>
      </c>
      <c r="C42">
        <v>4.4117647058823532E-2</v>
      </c>
      <c r="D42">
        <v>5.8823529411764705E-2</v>
      </c>
      <c r="E42">
        <v>1.9607843137254902E-2</v>
      </c>
      <c r="F42">
        <v>2.4509803921568627E-2</v>
      </c>
      <c r="G42">
        <v>5.3921568627450983E-2</v>
      </c>
      <c r="H42">
        <v>1.9607843137254902E-2</v>
      </c>
      <c r="I42">
        <v>3.4313725490196081E-2</v>
      </c>
      <c r="J42">
        <v>7.3529411764705885E-2</v>
      </c>
      <c r="K42">
        <v>0.17156862745098039</v>
      </c>
    </row>
    <row r="43" spans="1:11" ht="17" x14ac:dyDescent="0.15">
      <c r="A43" s="42">
        <v>6</v>
      </c>
      <c r="B43">
        <v>0.53018372703412076</v>
      </c>
      <c r="C43">
        <v>5.774278215223097E-2</v>
      </c>
      <c r="D43">
        <v>4.4619422572178477E-2</v>
      </c>
      <c r="E43">
        <v>3.937007874015748E-2</v>
      </c>
      <c r="F43">
        <v>4.9868766404199474E-2</v>
      </c>
      <c r="G43">
        <v>3.1496062992125984E-2</v>
      </c>
      <c r="H43">
        <v>2.6246719160104987E-2</v>
      </c>
      <c r="I43">
        <v>2.0997375328083989E-2</v>
      </c>
      <c r="J43">
        <v>4.4619422572178477E-2</v>
      </c>
      <c r="K43">
        <v>0.15485564304461943</v>
      </c>
    </row>
    <row r="44" spans="1:11" ht="17" x14ac:dyDescent="0.15">
      <c r="A44" s="42">
        <v>7</v>
      </c>
      <c r="B44">
        <v>0.52750809061488668</v>
      </c>
      <c r="C44">
        <v>7.4433656957928807E-2</v>
      </c>
      <c r="D44">
        <v>5.1779935275080909E-2</v>
      </c>
      <c r="E44">
        <v>4.5307443365695796E-2</v>
      </c>
      <c r="F44">
        <v>3.5598705501618123E-2</v>
      </c>
      <c r="G44">
        <v>1.6181229773462782E-2</v>
      </c>
      <c r="H44">
        <v>2.9126213592233011E-2</v>
      </c>
      <c r="I44">
        <v>2.9126213592233011E-2</v>
      </c>
      <c r="J44">
        <v>4.5307443365695796E-2</v>
      </c>
      <c r="K44">
        <v>0.14563106796116504</v>
      </c>
    </row>
    <row r="45" spans="1:11" ht="17" x14ac:dyDescent="0.15">
      <c r="A45" s="42">
        <v>8</v>
      </c>
      <c r="B45">
        <v>0.50549450549450547</v>
      </c>
      <c r="C45">
        <v>3.2967032967032968E-2</v>
      </c>
      <c r="D45">
        <v>7.6923076923076927E-2</v>
      </c>
      <c r="E45">
        <v>3.2967032967032968E-2</v>
      </c>
      <c r="F45">
        <v>3.2967032967032968E-2</v>
      </c>
      <c r="G45">
        <v>5.4945054945054944E-2</v>
      </c>
      <c r="H45">
        <v>2.197802197802198E-2</v>
      </c>
      <c r="I45">
        <v>3.2967032967032968E-2</v>
      </c>
      <c r="J45">
        <v>6.5934065934065936E-2</v>
      </c>
      <c r="K45">
        <v>0.14285714285714285</v>
      </c>
    </row>
    <row r="46" spans="1:11" ht="17" x14ac:dyDescent="0.15">
      <c r="A46" s="42">
        <v>9</v>
      </c>
      <c r="B46">
        <v>0.55913978494623651</v>
      </c>
      <c r="C46">
        <v>4.3010752688172046E-2</v>
      </c>
      <c r="D46">
        <v>3.2258064516129031E-2</v>
      </c>
      <c r="E46">
        <v>3.2258064516129031E-2</v>
      </c>
      <c r="F46">
        <v>3.2258064516129031E-2</v>
      </c>
      <c r="G46">
        <v>1.0752688172043012E-2</v>
      </c>
      <c r="H46">
        <v>2.1505376344086023E-2</v>
      </c>
      <c r="I46">
        <v>3.2258064516129031E-2</v>
      </c>
      <c r="J46">
        <v>1.0752688172043012E-2</v>
      </c>
      <c r="K46">
        <v>0.22580645161290322</v>
      </c>
    </row>
    <row r="47" spans="1:11" ht="17" x14ac:dyDescent="0.15">
      <c r="A47" s="42">
        <v>10</v>
      </c>
      <c r="B47">
        <v>0.45794392523364486</v>
      </c>
      <c r="C47">
        <v>0.10280373831775701</v>
      </c>
      <c r="D47">
        <v>9.3457943925233638E-3</v>
      </c>
      <c r="E47">
        <v>2.8037383177570093E-2</v>
      </c>
      <c r="F47">
        <v>1.8691588785046728E-2</v>
      </c>
      <c r="G47">
        <v>5.6074766355140186E-2</v>
      </c>
      <c r="H47">
        <v>7.476635514018691E-2</v>
      </c>
      <c r="I47">
        <v>4.6728971962616821E-2</v>
      </c>
      <c r="J47">
        <v>7.476635514018691E-2</v>
      </c>
      <c r="K47">
        <v>0.13084112149532709</v>
      </c>
    </row>
    <row r="48" spans="1:11" ht="17" x14ac:dyDescent="0.15">
      <c r="A48" s="42">
        <v>11</v>
      </c>
      <c r="B48">
        <v>0.53773584905660377</v>
      </c>
      <c r="C48">
        <v>9.4339622641509441E-2</v>
      </c>
      <c r="D48">
        <v>4.716981132075472E-2</v>
      </c>
      <c r="E48">
        <v>6.6037735849056603E-2</v>
      </c>
      <c r="F48">
        <v>4.716981132075472E-2</v>
      </c>
      <c r="G48">
        <v>4.716981132075472E-2</v>
      </c>
      <c r="H48">
        <v>3.7735849056603772E-2</v>
      </c>
      <c r="I48">
        <v>9.433962264150943E-3</v>
      </c>
      <c r="J48">
        <v>1.8867924528301886E-2</v>
      </c>
      <c r="K48">
        <v>9.4339622641509441E-2</v>
      </c>
    </row>
    <row r="49" spans="1:35" ht="17" x14ac:dyDescent="0.15">
      <c r="A49" s="42">
        <v>12</v>
      </c>
      <c r="B49">
        <v>0.54014598540145986</v>
      </c>
      <c r="C49">
        <v>5.8394160583941604E-2</v>
      </c>
      <c r="D49">
        <v>3.6496350364963501E-2</v>
      </c>
      <c r="E49">
        <v>3.6496350364963501E-2</v>
      </c>
      <c r="F49">
        <v>5.8394160583941604E-2</v>
      </c>
      <c r="G49">
        <v>7.2992700729927005E-3</v>
      </c>
      <c r="H49">
        <v>4.3795620437956206E-2</v>
      </c>
      <c r="I49">
        <v>3.6496350364963501E-2</v>
      </c>
      <c r="J49">
        <v>5.8394160583941604E-2</v>
      </c>
      <c r="K49">
        <v>0.12408759124087591</v>
      </c>
    </row>
    <row r="50" spans="1:35" ht="17" x14ac:dyDescent="0.15">
      <c r="A50" s="42">
        <v>13</v>
      </c>
      <c r="B50">
        <v>0.56140350877192979</v>
      </c>
      <c r="C50">
        <v>5.2631578947368418E-2</v>
      </c>
      <c r="D50">
        <v>0</v>
      </c>
      <c r="E50">
        <v>5.2631578947368418E-2</v>
      </c>
      <c r="F50">
        <v>0.12280701754385964</v>
      </c>
      <c r="G50">
        <v>5.2631578947368418E-2</v>
      </c>
      <c r="H50">
        <v>5.2631578947368418E-2</v>
      </c>
      <c r="I50">
        <v>1.7543859649122806E-2</v>
      </c>
      <c r="J50">
        <v>3.5087719298245612E-2</v>
      </c>
      <c r="K50">
        <v>5.2631578947368418E-2</v>
      </c>
    </row>
    <row r="51" spans="1:35" ht="17" x14ac:dyDescent="0.15">
      <c r="A51" s="42">
        <v>14</v>
      </c>
      <c r="B51">
        <v>0.52702702702702697</v>
      </c>
      <c r="C51">
        <v>8.1081081081081086E-2</v>
      </c>
      <c r="D51">
        <v>4.0540540540540543E-2</v>
      </c>
      <c r="E51">
        <v>6.7567567567567571E-2</v>
      </c>
      <c r="F51">
        <v>4.0540540540540543E-2</v>
      </c>
      <c r="G51">
        <v>4.0540540540540543E-2</v>
      </c>
      <c r="H51">
        <v>1.3513513513513514E-2</v>
      </c>
      <c r="I51">
        <v>1.3513513513513514E-2</v>
      </c>
      <c r="J51">
        <v>5.4054054054054057E-2</v>
      </c>
      <c r="K51">
        <v>0.12162162162162163</v>
      </c>
      <c r="AI51" t="s">
        <v>337</v>
      </c>
    </row>
    <row r="52" spans="1:35" ht="17" x14ac:dyDescent="0.15">
      <c r="A52" s="42">
        <v>15</v>
      </c>
      <c r="B52">
        <v>0.48109965635738833</v>
      </c>
      <c r="C52">
        <v>8.9347079037800689E-2</v>
      </c>
      <c r="D52">
        <v>8.247422680412371E-2</v>
      </c>
      <c r="E52">
        <v>4.1237113402061855E-2</v>
      </c>
      <c r="F52">
        <v>5.1546391752577317E-2</v>
      </c>
      <c r="G52">
        <v>1.0309278350515464E-2</v>
      </c>
      <c r="H52">
        <v>2.7491408934707903E-2</v>
      </c>
      <c r="I52">
        <v>4.1237113402061855E-2</v>
      </c>
      <c r="J52">
        <v>2.4054982817869417E-2</v>
      </c>
      <c r="K52">
        <v>0.15120274914089346</v>
      </c>
    </row>
    <row r="53" spans="1:35" ht="17" x14ac:dyDescent="0.15">
      <c r="A53" s="42">
        <v>16</v>
      </c>
      <c r="B53">
        <v>0.51666666666666672</v>
      </c>
      <c r="C53">
        <v>4.1666666666666664E-2</v>
      </c>
      <c r="D53">
        <v>0.05</v>
      </c>
      <c r="E53">
        <v>0.05</v>
      </c>
      <c r="F53">
        <v>6.6666666666666666E-2</v>
      </c>
      <c r="G53">
        <v>1.6666666666666666E-2</v>
      </c>
      <c r="H53">
        <v>3.3333333333333333E-2</v>
      </c>
      <c r="I53">
        <v>4.1666666666666664E-2</v>
      </c>
      <c r="J53">
        <v>0.05</v>
      </c>
      <c r="K53">
        <v>0.13333333333333333</v>
      </c>
    </row>
    <row r="54" spans="1:35" ht="17" x14ac:dyDescent="0.15">
      <c r="A54" s="42">
        <v>17</v>
      </c>
      <c r="B54">
        <v>0.37931034482758619</v>
      </c>
      <c r="C54">
        <v>3.4482758620689655E-2</v>
      </c>
      <c r="D54">
        <v>5.1724137931034482E-2</v>
      </c>
      <c r="E54">
        <v>3.4482758620689655E-2</v>
      </c>
      <c r="F54">
        <v>0.10344827586206896</v>
      </c>
      <c r="G54">
        <v>5.1724137931034482E-2</v>
      </c>
      <c r="H54">
        <v>6.8965517241379309E-2</v>
      </c>
      <c r="I54">
        <v>0</v>
      </c>
      <c r="J54">
        <v>5.1724137931034482E-2</v>
      </c>
      <c r="K54">
        <v>0.22413793103448276</v>
      </c>
    </row>
    <row r="55" spans="1:35" ht="17" x14ac:dyDescent="0.15">
      <c r="A55" s="42">
        <v>18</v>
      </c>
      <c r="B55">
        <v>0.45454545454545453</v>
      </c>
      <c r="C55">
        <v>0.10606060606060606</v>
      </c>
      <c r="D55">
        <v>6.0606060606060608E-2</v>
      </c>
      <c r="E55">
        <v>3.0303030303030304E-2</v>
      </c>
      <c r="F55">
        <v>4.5454545454545456E-2</v>
      </c>
      <c r="G55">
        <v>6.0606060606060608E-2</v>
      </c>
      <c r="H55">
        <v>0</v>
      </c>
      <c r="I55">
        <v>0</v>
      </c>
      <c r="J55">
        <v>6.0606060606060608E-2</v>
      </c>
      <c r="K55">
        <v>0.18181818181818182</v>
      </c>
    </row>
    <row r="56" spans="1:35" ht="17" x14ac:dyDescent="0.15">
      <c r="A56" s="42">
        <v>19</v>
      </c>
      <c r="B56">
        <v>0.48936170212765956</v>
      </c>
      <c r="C56">
        <v>8.1560283687943269E-2</v>
      </c>
      <c r="D56">
        <v>3.9007092198581561E-2</v>
      </c>
      <c r="E56">
        <v>3.5460992907801421E-2</v>
      </c>
      <c r="F56">
        <v>3.9007092198581561E-2</v>
      </c>
      <c r="G56">
        <v>3.1914893617021274E-2</v>
      </c>
      <c r="H56">
        <v>3.5460992907801421E-2</v>
      </c>
      <c r="I56">
        <v>4.9645390070921988E-2</v>
      </c>
      <c r="J56">
        <v>4.9645390070921988E-2</v>
      </c>
      <c r="K56">
        <v>0.14893617021276595</v>
      </c>
    </row>
    <row r="57" spans="1:35" ht="17" x14ac:dyDescent="0.15">
      <c r="A57" s="42">
        <v>20</v>
      </c>
      <c r="B57">
        <v>0.51162790697674421</v>
      </c>
      <c r="C57">
        <v>8.1395348837209308E-2</v>
      </c>
      <c r="D57">
        <v>2.3255813953488372E-2</v>
      </c>
      <c r="E57">
        <v>6.9767441860465115E-2</v>
      </c>
      <c r="F57">
        <v>3.4883720930232558E-2</v>
      </c>
      <c r="G57">
        <v>0</v>
      </c>
      <c r="H57">
        <v>3.4883720930232558E-2</v>
      </c>
      <c r="I57">
        <v>3.4883720930232558E-2</v>
      </c>
      <c r="J57">
        <v>1.1627906976744186E-2</v>
      </c>
      <c r="K57">
        <v>0.19767441860465115</v>
      </c>
    </row>
    <row r="58" spans="1:35" ht="17" x14ac:dyDescent="0.15">
      <c r="A58" s="42">
        <v>21</v>
      </c>
      <c r="B58">
        <v>0.5662650602409639</v>
      </c>
      <c r="C58">
        <v>6.0240963855421686E-2</v>
      </c>
      <c r="D58">
        <v>2.4096385542168676E-2</v>
      </c>
      <c r="E58">
        <v>6.0240963855421686E-2</v>
      </c>
      <c r="F58">
        <v>2.4096385542168676E-2</v>
      </c>
      <c r="G58">
        <v>2.4096385542168676E-2</v>
      </c>
      <c r="H58">
        <v>2.4096385542168676E-2</v>
      </c>
      <c r="I58">
        <v>2.4096385542168676E-2</v>
      </c>
      <c r="J58">
        <v>4.8192771084337352E-2</v>
      </c>
      <c r="K58">
        <v>0.14457831325301204</v>
      </c>
    </row>
    <row r="59" spans="1:35" ht="17" x14ac:dyDescent="0.15">
      <c r="A59" s="42">
        <v>22</v>
      </c>
      <c r="B59">
        <v>0.52713178294573648</v>
      </c>
      <c r="C59">
        <v>3.1007751937984496E-2</v>
      </c>
      <c r="D59">
        <v>2.3255813953488372E-2</v>
      </c>
      <c r="E59">
        <v>6.9767441860465115E-2</v>
      </c>
      <c r="F59">
        <v>8.5271317829457363E-2</v>
      </c>
      <c r="G59">
        <v>3.1007751937984496E-2</v>
      </c>
      <c r="H59">
        <v>3.1007751937984496E-2</v>
      </c>
      <c r="I59">
        <v>2.3255813953488372E-2</v>
      </c>
      <c r="J59">
        <v>2.3255813953488372E-2</v>
      </c>
      <c r="K59">
        <v>0.15503875968992248</v>
      </c>
    </row>
    <row r="60" spans="1:35" ht="17" x14ac:dyDescent="0.15">
      <c r="A60" s="42">
        <v>23</v>
      </c>
      <c r="B60">
        <v>0.57534246575342463</v>
      </c>
      <c r="C60">
        <v>0.10273972602739725</v>
      </c>
      <c r="D60">
        <v>4.1095890410958902E-2</v>
      </c>
      <c r="E60">
        <v>4.1095890410958902E-2</v>
      </c>
      <c r="F60">
        <v>2.7397260273972601E-2</v>
      </c>
      <c r="G60">
        <v>2.7397260273972601E-2</v>
      </c>
      <c r="H60">
        <v>2.0547945205479451E-2</v>
      </c>
      <c r="I60">
        <v>6.8493150684931503E-3</v>
      </c>
      <c r="J60">
        <v>4.1095890410958902E-2</v>
      </c>
      <c r="K60">
        <v>0.11643835616438356</v>
      </c>
    </row>
    <row r="61" spans="1:35" ht="17" x14ac:dyDescent="0.15">
      <c r="A61" s="42">
        <v>24</v>
      </c>
      <c r="B61">
        <v>0.57954545454545459</v>
      </c>
      <c r="C61">
        <v>5.6818181818181816E-2</v>
      </c>
      <c r="D61">
        <v>4.5454545454545456E-2</v>
      </c>
      <c r="E61">
        <v>0</v>
      </c>
      <c r="F61">
        <v>2.2727272727272728E-2</v>
      </c>
      <c r="G61">
        <v>0</v>
      </c>
      <c r="H61">
        <v>2.2727272727272728E-2</v>
      </c>
      <c r="I61">
        <v>2.2727272727272728E-2</v>
      </c>
      <c r="J61">
        <v>6.8181818181818177E-2</v>
      </c>
      <c r="K61">
        <v>0.18181818181818182</v>
      </c>
    </row>
    <row r="62" spans="1:35" ht="17" x14ac:dyDescent="0.15">
      <c r="A62" s="42">
        <v>25</v>
      </c>
      <c r="B62">
        <v>0.49342105263157893</v>
      </c>
      <c r="C62">
        <v>9.8684210526315791E-2</v>
      </c>
      <c r="D62">
        <v>6.5789473684210523E-2</v>
      </c>
      <c r="E62">
        <v>5.2631578947368418E-2</v>
      </c>
      <c r="F62">
        <v>1.9736842105263157E-2</v>
      </c>
      <c r="G62">
        <v>1.3157894736842105E-2</v>
      </c>
      <c r="H62">
        <v>1.9736842105263157E-2</v>
      </c>
      <c r="I62">
        <v>2.6315789473684209E-2</v>
      </c>
      <c r="J62">
        <v>5.921052631578947E-2</v>
      </c>
      <c r="K62">
        <v>0.15131578947368421</v>
      </c>
    </row>
    <row r="63" spans="1:35" ht="17" x14ac:dyDescent="0.15">
      <c r="A63" s="42">
        <v>26</v>
      </c>
      <c r="B63">
        <v>0.3888888888888889</v>
      </c>
      <c r="C63">
        <v>0.14814814814814814</v>
      </c>
      <c r="D63">
        <v>0.1111111111111111</v>
      </c>
      <c r="E63">
        <v>3.7037037037037035E-2</v>
      </c>
      <c r="F63">
        <v>1.8518518518518517E-2</v>
      </c>
      <c r="G63">
        <v>0</v>
      </c>
      <c r="H63">
        <v>1.8518518518518517E-2</v>
      </c>
      <c r="I63">
        <v>7.407407407407407E-2</v>
      </c>
      <c r="J63">
        <v>3.7037037037037035E-2</v>
      </c>
      <c r="K63">
        <v>0.16666666666666666</v>
      </c>
    </row>
    <row r="64" spans="1:35" ht="17" x14ac:dyDescent="0.15">
      <c r="A64" s="42">
        <v>27</v>
      </c>
      <c r="B64">
        <v>0.42</v>
      </c>
      <c r="C64">
        <v>0.12</v>
      </c>
      <c r="D64">
        <v>0.06</v>
      </c>
      <c r="E64">
        <v>0.06</v>
      </c>
      <c r="F64">
        <v>0</v>
      </c>
      <c r="G64">
        <v>0.02</v>
      </c>
      <c r="H64">
        <v>0.06</v>
      </c>
      <c r="I64">
        <v>0.04</v>
      </c>
      <c r="J64">
        <v>0.12</v>
      </c>
      <c r="K64">
        <v>0.1</v>
      </c>
    </row>
    <row r="65" spans="1:11" ht="17" x14ac:dyDescent="0.15">
      <c r="A65" s="42">
        <v>28</v>
      </c>
      <c r="B65">
        <v>0.49814126394052044</v>
      </c>
      <c r="C65">
        <v>6.6914498141263934E-2</v>
      </c>
      <c r="D65">
        <v>5.5762081784386616E-2</v>
      </c>
      <c r="E65">
        <v>2.6022304832713755E-2</v>
      </c>
      <c r="F65">
        <v>4.0892193308550186E-2</v>
      </c>
      <c r="G65">
        <v>2.9739776951672861E-2</v>
      </c>
      <c r="H65">
        <v>3.3457249070631967E-2</v>
      </c>
      <c r="I65">
        <v>3.717472118959108E-2</v>
      </c>
      <c r="J65">
        <v>5.9479553903345722E-2</v>
      </c>
      <c r="K65">
        <v>0.15241635687732341</v>
      </c>
    </row>
    <row r="66" spans="1:11" ht="17" x14ac:dyDescent="0.15">
      <c r="A66" s="42">
        <v>29</v>
      </c>
      <c r="B66">
        <v>0.54716981132075471</v>
      </c>
      <c r="C66">
        <v>9.4339622641509441E-2</v>
      </c>
      <c r="D66">
        <v>3.7735849056603772E-2</v>
      </c>
      <c r="E66">
        <v>3.7735849056603772E-2</v>
      </c>
      <c r="F66">
        <v>7.5471698113207544E-2</v>
      </c>
      <c r="G66">
        <v>2.8301886792452831E-2</v>
      </c>
      <c r="H66">
        <v>9.433962264150943E-3</v>
      </c>
      <c r="I66">
        <v>3.7735849056603772E-2</v>
      </c>
      <c r="J66">
        <v>3.7735849056603772E-2</v>
      </c>
      <c r="K66">
        <v>9.4339622641509441E-2</v>
      </c>
    </row>
    <row r="67" spans="1:11" ht="17" x14ac:dyDescent="0.15">
      <c r="A67" s="42">
        <v>30</v>
      </c>
      <c r="B67">
        <v>0.50505050505050508</v>
      </c>
      <c r="C67">
        <v>9.0909090909090912E-2</v>
      </c>
      <c r="D67">
        <v>0</v>
      </c>
      <c r="E67">
        <v>3.0303030303030304E-2</v>
      </c>
      <c r="F67">
        <v>4.0404040404040407E-2</v>
      </c>
      <c r="G67">
        <v>4.0404040404040407E-2</v>
      </c>
      <c r="H67">
        <v>2.0202020202020204E-2</v>
      </c>
      <c r="I67">
        <v>2.0202020202020204E-2</v>
      </c>
      <c r="J67">
        <v>6.0606060606060608E-2</v>
      </c>
      <c r="K67">
        <v>0.19191919191919191</v>
      </c>
    </row>
    <row r="68" spans="1:11" ht="17" x14ac:dyDescent="0.15">
      <c r="A68" s="42">
        <v>31</v>
      </c>
      <c r="B68">
        <v>0.50793650793650791</v>
      </c>
      <c r="C68">
        <v>6.3492063492063489E-2</v>
      </c>
      <c r="D68">
        <v>7.9365079365079361E-2</v>
      </c>
      <c r="E68">
        <v>4.7619047619047616E-2</v>
      </c>
      <c r="F68">
        <v>1.5873015873015872E-2</v>
      </c>
      <c r="G68">
        <v>4.7619047619047616E-2</v>
      </c>
      <c r="H68">
        <v>3.1746031746031744E-2</v>
      </c>
      <c r="I68">
        <v>3.1746031746031744E-2</v>
      </c>
      <c r="J68">
        <v>7.9365079365079361E-2</v>
      </c>
      <c r="K68">
        <v>9.5238095238095233E-2</v>
      </c>
    </row>
    <row r="69" spans="1:11" ht="17" x14ac:dyDescent="0.15">
      <c r="A69" s="42">
        <v>32</v>
      </c>
      <c r="B69">
        <v>0.5</v>
      </c>
      <c r="C69">
        <v>6.5217391304347824E-2</v>
      </c>
      <c r="D69">
        <v>7.6086956521739135E-2</v>
      </c>
      <c r="E69">
        <v>1.0869565217391304E-2</v>
      </c>
      <c r="F69">
        <v>3.2608695652173912E-2</v>
      </c>
      <c r="G69">
        <v>7.6086956521739135E-2</v>
      </c>
      <c r="H69">
        <v>6.5217391304347824E-2</v>
      </c>
      <c r="I69">
        <v>2.1739130434782608E-2</v>
      </c>
      <c r="J69">
        <v>1.0869565217391304E-2</v>
      </c>
      <c r="K69">
        <v>0.14130434782608695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38" sqref="G38"/>
    </sheetView>
  </sheetViews>
  <sheetFormatPr baseColWidth="10" defaultRowHeight="15" x14ac:dyDescent="0.15"/>
  <cols>
    <col min="4" max="5" width="12.5" bestFit="1" customWidth="1"/>
    <col min="6" max="9" width="16.5" bestFit="1" customWidth="1"/>
  </cols>
  <sheetData>
    <row r="1" spans="1:10" x14ac:dyDescent="0.15">
      <c r="A1" s="23" t="s">
        <v>336</v>
      </c>
      <c r="B1" s="36"/>
      <c r="C1" s="36"/>
      <c r="D1" s="36"/>
      <c r="E1" s="36"/>
      <c r="F1" s="36"/>
      <c r="G1" s="36"/>
      <c r="H1" s="36"/>
      <c r="I1" s="36"/>
    </row>
    <row r="2" spans="1:10" x14ac:dyDescent="0.15">
      <c r="A2" s="36" t="s">
        <v>23</v>
      </c>
      <c r="B2" s="36" t="s">
        <v>5</v>
      </c>
      <c r="C2" s="36" t="s">
        <v>6</v>
      </c>
      <c r="D2" s="36" t="s">
        <v>18</v>
      </c>
      <c r="E2" s="36" t="s">
        <v>29</v>
      </c>
      <c r="F2" s="36" t="s">
        <v>24</v>
      </c>
      <c r="G2" s="36" t="s">
        <v>25</v>
      </c>
      <c r="H2" s="36" t="s">
        <v>31</v>
      </c>
      <c r="I2" s="36" t="s">
        <v>32</v>
      </c>
    </row>
    <row r="3" spans="1:10" x14ac:dyDescent="0.15">
      <c r="A3" s="36" t="s">
        <v>52</v>
      </c>
      <c r="B3" s="36">
        <f>[205]KEGG_21_stat_SNPs_freq_10!B2</f>
        <v>236</v>
      </c>
      <c r="C3" s="36">
        <f>[206]KEGG_21_stat_gene_freq_10!B2</f>
        <v>20</v>
      </c>
      <c r="D3" s="36">
        <f>[207]KEGG_20_stat_stem_freq_10!B2</f>
        <v>131</v>
      </c>
      <c r="E3" s="36">
        <f>[208]KEGG_21_stat_loop_freq_10!B2</f>
        <v>101</v>
      </c>
      <c r="F3" s="4">
        <f>[209]KEGG_20_stat_stem_AT_GC_freq_10!B2</f>
        <v>51</v>
      </c>
      <c r="G3" s="36">
        <f>[210]KEGG_21_stat_loop_AT_GC_freq_10!B2</f>
        <v>53</v>
      </c>
      <c r="H3" s="4">
        <f>[211]KEGG_20_stat_stem_GC_AT_freq_10!B2</f>
        <v>72</v>
      </c>
      <c r="I3" s="4">
        <f>[212]KEGG_21_stat_loop_GC_AT_freq_10!B2</f>
        <v>34</v>
      </c>
    </row>
    <row r="4" spans="1:10" x14ac:dyDescent="0.15">
      <c r="A4" s="36" t="s">
        <v>38</v>
      </c>
      <c r="B4" s="36">
        <f>[205]KEGG_21_stat_SNPs_freq_10!B3</f>
        <v>24</v>
      </c>
      <c r="C4" s="36">
        <f>[206]KEGG_21_stat_gene_freq_10!B3</f>
        <v>14</v>
      </c>
      <c r="D4" s="36">
        <f>[207]KEGG_20_stat_stem_freq_10!B3</f>
        <v>20</v>
      </c>
      <c r="E4" s="36">
        <f>[208]KEGG_21_stat_loop_freq_10!B3</f>
        <v>13</v>
      </c>
      <c r="F4" s="4">
        <f>[209]KEGG_20_stat_stem_AT_GC_freq_10!B3</f>
        <v>7</v>
      </c>
      <c r="G4" s="36">
        <f>[210]KEGG_21_stat_loop_AT_GC_freq_10!B3</f>
        <v>7</v>
      </c>
      <c r="H4" s="4">
        <f>[211]KEGG_20_stat_stem_GC_AT_freq_10!B3</f>
        <v>10</v>
      </c>
      <c r="I4" s="4">
        <f>[212]KEGG_21_stat_loop_GC_AT_freq_10!B3</f>
        <v>4</v>
      </c>
    </row>
    <row r="5" spans="1:10" x14ac:dyDescent="0.15">
      <c r="A5" s="36" t="s">
        <v>53</v>
      </c>
      <c r="B5" s="36">
        <f>[205]KEGG_21_stat_SNPs_freq_10!B4</f>
        <v>10</v>
      </c>
      <c r="C5" s="36">
        <f>[206]KEGG_21_stat_gene_freq_10!B4</f>
        <v>5</v>
      </c>
      <c r="D5" s="36">
        <f>[207]KEGG_20_stat_stem_freq_10!B4</f>
        <v>10</v>
      </c>
      <c r="E5" s="36">
        <f>[208]KEGG_21_stat_loop_freq_10!B4</f>
        <v>5</v>
      </c>
      <c r="F5" s="4">
        <f>[209]KEGG_20_stat_stem_AT_GC_freq_10!B4</f>
        <v>2</v>
      </c>
      <c r="G5" s="36">
        <f>[210]KEGG_21_stat_loop_AT_GC_freq_10!B4</f>
        <v>1</v>
      </c>
      <c r="H5" s="4">
        <f>[211]KEGG_20_stat_stem_GC_AT_freq_10!B4</f>
        <v>7</v>
      </c>
      <c r="I5" s="4">
        <f>[212]KEGG_21_stat_loop_GC_AT_freq_10!B4</f>
        <v>4</v>
      </c>
    </row>
    <row r="6" spans="1:10" x14ac:dyDescent="0.15">
      <c r="A6" s="36" t="s">
        <v>54</v>
      </c>
      <c r="B6" s="36">
        <f>[205]KEGG_21_stat_SNPs_freq_10!B5</f>
        <v>23</v>
      </c>
      <c r="C6" s="36">
        <f>[206]KEGG_21_stat_gene_freq_10!B5</f>
        <v>11</v>
      </c>
      <c r="D6" s="36">
        <f>[207]KEGG_20_stat_stem_freq_10!B5</f>
        <v>8</v>
      </c>
      <c r="E6" s="36">
        <f>[208]KEGG_21_stat_loop_freq_10!B5</f>
        <v>9</v>
      </c>
      <c r="F6" s="4">
        <f>[209]KEGG_20_stat_stem_AT_GC_freq_10!B5</f>
        <v>7</v>
      </c>
      <c r="G6" s="36">
        <f>[210]KEGG_21_stat_loop_AT_GC_freq_10!B5</f>
        <v>3</v>
      </c>
      <c r="H6" s="4">
        <f>[211]KEGG_20_stat_stem_GC_AT_freq_10!B5</f>
        <v>1</v>
      </c>
      <c r="I6" s="4">
        <f>[212]KEGG_21_stat_loop_GC_AT_freq_10!B5</f>
        <v>6</v>
      </c>
    </row>
    <row r="7" spans="1:10" x14ac:dyDescent="0.15">
      <c r="A7" s="36" t="s">
        <v>55</v>
      </c>
      <c r="B7" s="36">
        <f>[205]KEGG_21_stat_SNPs_freq_10!B6</f>
        <v>8</v>
      </c>
      <c r="C7" s="36">
        <f>[206]KEGG_21_stat_gene_freq_10!B6</f>
        <v>3</v>
      </c>
      <c r="D7" s="36">
        <f>[207]KEGG_20_stat_stem_freq_10!B6</f>
        <v>8</v>
      </c>
      <c r="E7" s="36">
        <f>[208]KEGG_21_stat_loop_freq_10!B6</f>
        <v>2</v>
      </c>
      <c r="F7" s="4">
        <f>[209]KEGG_20_stat_stem_AT_GC_freq_10!B6</f>
        <v>2</v>
      </c>
      <c r="G7" s="36">
        <f>[210]KEGG_21_stat_loop_AT_GC_freq_10!B6</f>
        <v>1</v>
      </c>
      <c r="H7" s="4">
        <f>[211]KEGG_20_stat_stem_GC_AT_freq_10!B6</f>
        <v>5</v>
      </c>
      <c r="I7" s="4">
        <f>[212]KEGG_21_stat_loop_GC_AT_freq_10!B6</f>
        <v>1</v>
      </c>
    </row>
    <row r="8" spans="1:10" x14ac:dyDescent="0.15">
      <c r="A8" s="36" t="s">
        <v>56</v>
      </c>
      <c r="B8" s="36">
        <f>[205]KEGG_21_stat_SNPs_freq_10!B7</f>
        <v>11</v>
      </c>
      <c r="C8" s="36">
        <f>[206]KEGG_21_stat_gene_freq_10!B7</f>
        <v>6</v>
      </c>
      <c r="D8" s="36">
        <f>[207]KEGG_20_stat_stem_freq_10!B7</f>
        <v>1</v>
      </c>
      <c r="E8" s="36">
        <f>[208]KEGG_21_stat_loop_freq_10!B7</f>
        <v>6</v>
      </c>
      <c r="F8" s="4">
        <f>[209]KEGG_20_stat_stem_AT_GC_freq_10!B7</f>
        <v>0</v>
      </c>
      <c r="G8" s="36">
        <f>[210]KEGG_21_stat_loop_AT_GC_freq_10!B7</f>
        <v>2</v>
      </c>
      <c r="H8" s="4">
        <f>[211]KEGG_20_stat_stem_GC_AT_freq_10!B7</f>
        <v>1</v>
      </c>
      <c r="I8" s="4">
        <f>[212]KEGG_21_stat_loop_GC_AT_freq_10!B7</f>
        <v>4</v>
      </c>
    </row>
    <row r="9" spans="1:10" x14ac:dyDescent="0.15">
      <c r="A9" s="36" t="s">
        <v>57</v>
      </c>
      <c r="B9" s="36">
        <f>[205]KEGG_21_stat_SNPs_freq_10!B8</f>
        <v>5</v>
      </c>
      <c r="C9" s="36">
        <f>[206]KEGG_21_stat_gene_freq_10!B8</f>
        <v>4</v>
      </c>
      <c r="D9" s="36">
        <f>[207]KEGG_20_stat_stem_freq_10!B8</f>
        <v>6</v>
      </c>
      <c r="E9" s="36">
        <f>[208]KEGG_21_stat_loop_freq_10!B8</f>
        <v>1</v>
      </c>
      <c r="F9" s="4">
        <f>[209]KEGG_20_stat_stem_AT_GC_freq_10!B8</f>
        <v>3</v>
      </c>
      <c r="G9" s="36">
        <f>[210]KEGG_21_stat_loop_AT_GC_freq_10!B8</f>
        <v>1</v>
      </c>
      <c r="H9" s="4">
        <f>[211]KEGG_20_stat_stem_GC_AT_freq_10!B8</f>
        <v>3</v>
      </c>
      <c r="I9" s="4">
        <f>[212]KEGG_21_stat_loop_GC_AT_freq_10!B8</f>
        <v>0</v>
      </c>
    </row>
    <row r="10" spans="1:10" x14ac:dyDescent="0.15">
      <c r="A10" s="36" t="s">
        <v>58</v>
      </c>
      <c r="B10" s="36">
        <f>[205]KEGG_21_stat_SNPs_freq_10!B9</f>
        <v>10</v>
      </c>
      <c r="C10" s="36">
        <f>[206]KEGG_21_stat_gene_freq_10!B9</f>
        <v>7</v>
      </c>
      <c r="D10" s="36">
        <f>[207]KEGG_20_stat_stem_freq_10!B9</f>
        <v>5</v>
      </c>
      <c r="E10" s="36">
        <f>[208]KEGG_21_stat_loop_freq_10!B9</f>
        <v>4</v>
      </c>
      <c r="F10" s="4">
        <f>[209]KEGG_20_stat_stem_AT_GC_freq_10!B9</f>
        <v>3</v>
      </c>
      <c r="G10" s="36">
        <f>[210]KEGG_21_stat_loop_AT_GC_freq_10!B9</f>
        <v>2</v>
      </c>
      <c r="H10" s="4">
        <f>[211]KEGG_20_stat_stem_GC_AT_freq_10!B9</f>
        <v>2</v>
      </c>
      <c r="I10" s="4">
        <f>[212]KEGG_21_stat_loop_GC_AT_freq_10!B9</f>
        <v>2</v>
      </c>
    </row>
    <row r="11" spans="1:10" x14ac:dyDescent="0.15">
      <c r="A11" s="36" t="s">
        <v>59</v>
      </c>
      <c r="B11" s="36">
        <f>[205]KEGG_21_stat_SNPs_freq_10!B10</f>
        <v>10</v>
      </c>
      <c r="C11" s="36">
        <f>[206]KEGG_21_stat_gene_freq_10!B10</f>
        <v>6</v>
      </c>
      <c r="D11" s="36">
        <f>[207]KEGG_20_stat_stem_freq_10!B10</f>
        <v>5</v>
      </c>
      <c r="E11" s="36">
        <f>[208]KEGG_21_stat_loop_freq_10!B10</f>
        <v>4</v>
      </c>
      <c r="F11" s="4">
        <f>[209]KEGG_20_stat_stem_AT_GC_freq_10!B10</f>
        <v>3</v>
      </c>
      <c r="G11" s="36">
        <f>[210]KEGG_21_stat_loop_AT_GC_freq_10!B10</f>
        <v>2</v>
      </c>
      <c r="H11" s="4">
        <f>[211]KEGG_20_stat_stem_GC_AT_freq_10!B10</f>
        <v>2</v>
      </c>
      <c r="I11" s="4">
        <f>[212]KEGG_21_stat_loop_GC_AT_freq_10!B10</f>
        <v>2</v>
      </c>
    </row>
    <row r="12" spans="1:10" x14ac:dyDescent="0.15">
      <c r="A12" s="36" t="s">
        <v>60</v>
      </c>
      <c r="B12" s="36">
        <f>[205]KEGG_21_stat_SNPs_freq_10!B11</f>
        <v>162</v>
      </c>
      <c r="C12" s="36">
        <f>[206]KEGG_21_stat_gene_freq_10!B11</f>
        <v>17</v>
      </c>
      <c r="D12" s="36">
        <f>[207]KEGG_20_stat_stem_freq_10!B11</f>
        <v>20</v>
      </c>
      <c r="E12" s="36">
        <f>[208]KEGG_21_stat_loop_freq_10!B11</f>
        <v>74</v>
      </c>
      <c r="F12" s="4">
        <f>[209]KEGG_20_stat_stem_AT_GC_freq_10!B11</f>
        <v>15</v>
      </c>
      <c r="G12" s="36">
        <f>[210]KEGG_21_stat_loop_AT_GC_freq_10!B11</f>
        <v>31</v>
      </c>
      <c r="H12" s="4">
        <f>[211]KEGG_20_stat_stem_GC_AT_freq_10!B11</f>
        <v>5</v>
      </c>
      <c r="I12" s="4">
        <f>[212]KEGG_21_stat_loop_GC_AT_freq_10!B11</f>
        <v>37</v>
      </c>
    </row>
    <row r="13" spans="1:10" x14ac:dyDescent="0.15">
      <c r="A13" s="36" t="s">
        <v>61</v>
      </c>
      <c r="B13" s="36"/>
      <c r="C13" s="36"/>
      <c r="D13" s="36">
        <f>SUM(D3:D12)</f>
        <v>214</v>
      </c>
      <c r="E13" s="36">
        <f t="shared" ref="E13:I13" si="0">SUM(E3:E12)</f>
        <v>219</v>
      </c>
      <c r="F13" s="36">
        <f t="shared" si="0"/>
        <v>93</v>
      </c>
      <c r="G13" s="36">
        <f t="shared" si="0"/>
        <v>103</v>
      </c>
      <c r="H13" s="36">
        <f t="shared" si="0"/>
        <v>108</v>
      </c>
      <c r="I13" s="36">
        <f t="shared" si="0"/>
        <v>94</v>
      </c>
    </row>
    <row r="16" spans="1:10" x14ac:dyDescent="0.15">
      <c r="A16" s="36" t="s">
        <v>23</v>
      </c>
      <c r="B16" s="36"/>
      <c r="C16" s="36"/>
      <c r="D16" s="36" t="s">
        <v>18</v>
      </c>
      <c r="E16" s="36" t="s">
        <v>29</v>
      </c>
      <c r="F16" s="36" t="s">
        <v>24</v>
      </c>
      <c r="G16" s="36" t="s">
        <v>25</v>
      </c>
      <c r="H16" s="36" t="s">
        <v>31</v>
      </c>
      <c r="I16" s="36" t="s">
        <v>32</v>
      </c>
      <c r="J16" s="36" t="s">
        <v>39</v>
      </c>
    </row>
    <row r="17" spans="1:10" x14ac:dyDescent="0.15">
      <c r="A17" s="36" t="s">
        <v>52</v>
      </c>
      <c r="B17" s="36"/>
      <c r="C17" s="36"/>
      <c r="D17" s="36">
        <f>D3/D$13</f>
        <v>0.61214953271028039</v>
      </c>
      <c r="E17" s="36">
        <f>E3/E$13</f>
        <v>0.46118721461187212</v>
      </c>
      <c r="F17" s="36">
        <f>F3/F$13</f>
        <v>0.54838709677419351</v>
      </c>
      <c r="G17" s="36">
        <f t="shared" ref="G17:I17" si="1">G3/G$13</f>
        <v>0.5145631067961165</v>
      </c>
      <c r="H17" s="36">
        <f t="shared" si="1"/>
        <v>0.66666666666666663</v>
      </c>
      <c r="I17" s="36">
        <f t="shared" si="1"/>
        <v>0.36170212765957449</v>
      </c>
      <c r="J17" s="36">
        <v>0.58572800000000003</v>
      </c>
    </row>
    <row r="18" spans="1:10" x14ac:dyDescent="0.15">
      <c r="A18" s="36" t="s">
        <v>38</v>
      </c>
      <c r="B18" s="36"/>
      <c r="C18" s="36"/>
      <c r="D18" s="36">
        <f t="shared" ref="D18:I26" si="2">D4/D$13</f>
        <v>9.3457943925233641E-2</v>
      </c>
      <c r="E18" s="36">
        <f t="shared" si="2"/>
        <v>5.9360730593607303E-2</v>
      </c>
      <c r="F18" s="36">
        <f t="shared" si="2"/>
        <v>7.5268817204301078E-2</v>
      </c>
      <c r="G18" s="36">
        <f t="shared" si="2"/>
        <v>6.7961165048543687E-2</v>
      </c>
      <c r="H18" s="36">
        <f t="shared" si="2"/>
        <v>9.2592592592592587E-2</v>
      </c>
      <c r="I18" s="36">
        <f>I4/I$13</f>
        <v>4.2553191489361701E-2</v>
      </c>
      <c r="J18" s="36">
        <v>0.124192</v>
      </c>
    </row>
    <row r="19" spans="1:10" x14ac:dyDescent="0.15">
      <c r="A19" s="36" t="s">
        <v>53</v>
      </c>
      <c r="B19" s="36"/>
      <c r="C19" s="36"/>
      <c r="D19" s="36">
        <f t="shared" si="2"/>
        <v>4.6728971962616821E-2</v>
      </c>
      <c r="E19" s="36">
        <f t="shared" si="2"/>
        <v>2.2831050228310501E-2</v>
      </c>
      <c r="F19" s="36">
        <f t="shared" si="2"/>
        <v>2.1505376344086023E-2</v>
      </c>
      <c r="G19" s="36">
        <f t="shared" si="2"/>
        <v>9.7087378640776691E-3</v>
      </c>
      <c r="H19" s="36">
        <f t="shared" si="2"/>
        <v>6.4814814814814811E-2</v>
      </c>
      <c r="I19" s="36">
        <f t="shared" si="2"/>
        <v>4.2553191489361701E-2</v>
      </c>
      <c r="J19" s="36">
        <v>7.3511900000000005E-2</v>
      </c>
    </row>
    <row r="20" spans="1:10" x14ac:dyDescent="0.15">
      <c r="A20" s="36" t="s">
        <v>54</v>
      </c>
      <c r="B20" s="36"/>
      <c r="C20" s="36"/>
      <c r="D20" s="36">
        <f t="shared" si="2"/>
        <v>3.7383177570093455E-2</v>
      </c>
      <c r="E20" s="36">
        <f t="shared" si="2"/>
        <v>4.1095890410958902E-2</v>
      </c>
      <c r="F20" s="36">
        <f t="shared" si="2"/>
        <v>7.5268817204301078E-2</v>
      </c>
      <c r="G20" s="36">
        <f t="shared" si="2"/>
        <v>2.9126213592233011E-2</v>
      </c>
      <c r="H20" s="36">
        <f t="shared" si="2"/>
        <v>9.2592592592592587E-3</v>
      </c>
      <c r="I20" s="36">
        <f t="shared" si="2"/>
        <v>6.3829787234042548E-2</v>
      </c>
      <c r="J20" s="36">
        <v>5.1270999999999997E-2</v>
      </c>
    </row>
    <row r="21" spans="1:10" x14ac:dyDescent="0.15">
      <c r="A21" s="36" t="s">
        <v>55</v>
      </c>
      <c r="B21" s="36"/>
      <c r="C21" s="36"/>
      <c r="D21" s="36">
        <f t="shared" si="2"/>
        <v>3.7383177570093455E-2</v>
      </c>
      <c r="E21" s="36">
        <f t="shared" si="2"/>
        <v>9.1324200913242004E-3</v>
      </c>
      <c r="F21" s="36">
        <f t="shared" si="2"/>
        <v>2.1505376344086023E-2</v>
      </c>
      <c r="G21" s="36">
        <f t="shared" si="2"/>
        <v>9.7087378640776691E-3</v>
      </c>
      <c r="H21" s="36">
        <f t="shared" si="2"/>
        <v>4.6296296296296294E-2</v>
      </c>
      <c r="I21" s="36">
        <f t="shared" si="2"/>
        <v>1.0638297872340425E-2</v>
      </c>
      <c r="J21" s="36">
        <v>4.00627E-2</v>
      </c>
    </row>
    <row r="22" spans="1:10" x14ac:dyDescent="0.15">
      <c r="A22" s="36" t="s">
        <v>56</v>
      </c>
      <c r="B22" s="36"/>
      <c r="C22" s="36"/>
      <c r="D22" s="36">
        <f t="shared" si="2"/>
        <v>4.6728971962616819E-3</v>
      </c>
      <c r="E22" s="36">
        <f t="shared" si="2"/>
        <v>2.7397260273972601E-2</v>
      </c>
      <c r="F22" s="36">
        <f t="shared" si="2"/>
        <v>0</v>
      </c>
      <c r="G22" s="36">
        <f t="shared" si="2"/>
        <v>1.9417475728155338E-2</v>
      </c>
      <c r="H22" s="36">
        <f t="shared" si="2"/>
        <v>9.2592592592592587E-3</v>
      </c>
      <c r="I22" s="36">
        <f t="shared" si="2"/>
        <v>4.2553191489361701E-2</v>
      </c>
      <c r="J22" s="36">
        <v>3.2886400000000003E-2</v>
      </c>
    </row>
    <row r="23" spans="1:10" x14ac:dyDescent="0.15">
      <c r="A23" s="36" t="s">
        <v>57</v>
      </c>
      <c r="B23" s="36"/>
      <c r="C23" s="36"/>
      <c r="D23" s="36">
        <f t="shared" si="2"/>
        <v>2.8037383177570093E-2</v>
      </c>
      <c r="E23" s="36">
        <f t="shared" si="2"/>
        <v>4.5662100456621002E-3</v>
      </c>
      <c r="F23" s="36">
        <f t="shared" si="2"/>
        <v>3.2258064516129031E-2</v>
      </c>
      <c r="G23" s="36">
        <f t="shared" si="2"/>
        <v>9.7087378640776691E-3</v>
      </c>
      <c r="H23" s="36">
        <f t="shared" si="2"/>
        <v>2.7777777777777776E-2</v>
      </c>
      <c r="I23" s="36">
        <f t="shared" si="2"/>
        <v>0</v>
      </c>
      <c r="J23" s="36">
        <v>2.7894599999999999E-2</v>
      </c>
    </row>
    <row r="24" spans="1:10" x14ac:dyDescent="0.15">
      <c r="A24" s="36" t="s">
        <v>58</v>
      </c>
      <c r="B24" s="36"/>
      <c r="C24" s="36"/>
      <c r="D24" s="36">
        <f t="shared" si="2"/>
        <v>2.336448598130841E-2</v>
      </c>
      <c r="E24" s="36">
        <f t="shared" si="2"/>
        <v>1.8264840182648401E-2</v>
      </c>
      <c r="F24" s="36">
        <f t="shared" si="2"/>
        <v>3.2258064516129031E-2</v>
      </c>
      <c r="G24" s="36">
        <f t="shared" si="2"/>
        <v>1.9417475728155338E-2</v>
      </c>
      <c r="H24" s="36">
        <f t="shared" si="2"/>
        <v>1.8518518518518517E-2</v>
      </c>
      <c r="I24" s="36">
        <f t="shared" si="2"/>
        <v>2.1276595744680851E-2</v>
      </c>
      <c r="J24" s="36">
        <v>2.42204E-2</v>
      </c>
    </row>
    <row r="25" spans="1:10" x14ac:dyDescent="0.15">
      <c r="A25" s="36" t="s">
        <v>59</v>
      </c>
      <c r="B25" s="36"/>
      <c r="C25" s="36"/>
      <c r="D25" s="36">
        <f t="shared" si="2"/>
        <v>2.336448598130841E-2</v>
      </c>
      <c r="E25" s="36">
        <f t="shared" si="2"/>
        <v>1.8264840182648401E-2</v>
      </c>
      <c r="F25" s="36">
        <f t="shared" si="2"/>
        <v>3.2258064516129031E-2</v>
      </c>
      <c r="G25" s="36">
        <f t="shared" si="2"/>
        <v>1.9417475728155338E-2</v>
      </c>
      <c r="H25" s="36">
        <f t="shared" si="2"/>
        <v>1.8518518518518517E-2</v>
      </c>
      <c r="I25" s="36">
        <f t="shared" si="2"/>
        <v>2.1276595744680851E-2</v>
      </c>
      <c r="J25" s="36">
        <v>2.1212499999999999E-2</v>
      </c>
    </row>
    <row r="26" spans="1:10" x14ac:dyDescent="0.15">
      <c r="A26" s="36" t="s">
        <v>60</v>
      </c>
      <c r="B26" s="36"/>
      <c r="C26" s="36"/>
      <c r="D26" s="36">
        <f t="shared" si="2"/>
        <v>9.3457943925233641E-2</v>
      </c>
      <c r="E26" s="36">
        <f t="shared" si="2"/>
        <v>0.33789954337899542</v>
      </c>
      <c r="F26" s="36">
        <f t="shared" si="2"/>
        <v>0.16129032258064516</v>
      </c>
      <c r="G26" s="36">
        <f t="shared" si="2"/>
        <v>0.30097087378640774</v>
      </c>
      <c r="H26" s="36">
        <f t="shared" si="2"/>
        <v>4.6296296296296294E-2</v>
      </c>
      <c r="I26" s="36">
        <f t="shared" si="2"/>
        <v>0.39361702127659576</v>
      </c>
      <c r="J26" s="36">
        <v>1.90198E-2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6"/>
  <sheetViews>
    <sheetView workbookViewId="0">
      <selection activeCell="D19" sqref="D19"/>
    </sheetView>
  </sheetViews>
  <sheetFormatPr baseColWidth="10" defaultRowHeight="15" x14ac:dyDescent="0.15"/>
  <cols>
    <col min="1" max="5" width="10.83203125" style="2"/>
    <col min="6" max="7" width="16.5" style="2" bestFit="1" customWidth="1"/>
    <col min="8" max="9" width="16.5" style="5" customWidth="1"/>
    <col min="10" max="10" width="16.5" style="6" customWidth="1"/>
    <col min="11" max="14" width="10.83203125" style="2"/>
    <col min="15" max="15" width="13.1640625" style="8" customWidth="1"/>
    <col min="16" max="16" width="13.1640625" style="13" customWidth="1"/>
    <col min="17" max="17" width="10.83203125" style="19"/>
    <col min="18" max="18" width="10.83203125" style="20"/>
    <col min="19" max="19" width="17.5" style="2" bestFit="1" customWidth="1"/>
    <col min="20" max="21" width="10.83203125" style="7"/>
    <col min="22" max="22" width="10.6640625" style="7" customWidth="1"/>
    <col min="23" max="29" width="10.83203125" style="7"/>
    <col min="30" max="16384" width="10.83203125" style="2"/>
  </cols>
  <sheetData>
    <row r="1" spans="1:29" s="17" customFormat="1" x14ac:dyDescent="0.15">
      <c r="A1" s="23" t="s">
        <v>66</v>
      </c>
      <c r="O1" s="18"/>
      <c r="P1" s="18"/>
      <c r="Q1" s="19"/>
      <c r="R1" s="20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15">
      <c r="A2" s="2" t="s">
        <v>23</v>
      </c>
      <c r="B2" s="2" t="s">
        <v>5</v>
      </c>
      <c r="C2" s="2" t="s">
        <v>6</v>
      </c>
      <c r="D2" s="9" t="s">
        <v>18</v>
      </c>
      <c r="E2" s="9" t="s">
        <v>29</v>
      </c>
      <c r="F2" s="9" t="s">
        <v>24</v>
      </c>
      <c r="G2" s="9" t="s">
        <v>25</v>
      </c>
      <c r="H2" s="9" t="s">
        <v>31</v>
      </c>
      <c r="I2" s="9" t="s">
        <v>32</v>
      </c>
      <c r="K2" s="6" t="s">
        <v>30</v>
      </c>
      <c r="L2" s="2" t="s">
        <v>19</v>
      </c>
      <c r="M2" s="2" t="s">
        <v>27</v>
      </c>
      <c r="N2" s="2" t="s">
        <v>26</v>
      </c>
      <c r="O2" s="8" t="s">
        <v>28</v>
      </c>
      <c r="P2" s="12" t="s">
        <v>37</v>
      </c>
      <c r="Q2" s="19" t="s">
        <v>34</v>
      </c>
      <c r="R2" s="20" t="s">
        <v>20</v>
      </c>
      <c r="S2" s="7"/>
    </row>
    <row r="3" spans="1:29" x14ac:dyDescent="0.15">
      <c r="A3" s="2" t="s">
        <v>52</v>
      </c>
      <c r="B3" s="11">
        <f>[3]PARS_cds_stat_SNPs_freq_10!B2</f>
        <v>21542</v>
      </c>
      <c r="C3" s="37">
        <f>[4]PARS_cds_stat_gene_freq_10!B2</f>
        <v>2039</v>
      </c>
      <c r="D3" s="11">
        <f>[5]PARS_cds_stat_stem_freq_10!B2</f>
        <v>12926</v>
      </c>
      <c r="E3" s="11">
        <f>[6]PARS_cds_stat_loop_freq_10!B2</f>
        <v>8616</v>
      </c>
      <c r="F3" s="4">
        <f>[7]PARS_cds_stat_stem_AT_GC_freq_1!B2</f>
        <v>4612</v>
      </c>
      <c r="G3" s="11">
        <f>[8]PARS_cds_stat_loop_AT_GC_freq_1!B2</f>
        <v>4041</v>
      </c>
      <c r="H3" s="4">
        <f>[9]PARS_cds_stat_stem_GC_AT_freq_1!B2</f>
        <v>6808</v>
      </c>
      <c r="I3" s="4">
        <f>[10]PARS_cds_stat_loop_GC_AT_freq_1!B2</f>
        <v>3518</v>
      </c>
      <c r="J3" s="4"/>
      <c r="K3" s="60" t="s">
        <v>8</v>
      </c>
      <c r="L3" s="2" t="s">
        <v>21</v>
      </c>
      <c r="M3" s="11">
        <f>[11]PARS_cds_stat_freq_10_chi_squar!B2</f>
        <v>4612</v>
      </c>
      <c r="N3" s="11">
        <f>[11]PARS_cds_stat_freq_10_chi_squar!C2</f>
        <v>6808</v>
      </c>
      <c r="O3" s="10">
        <f>[11]PARS_cds_stat_freq_10_chi_squar!D2</f>
        <v>0.40385288966725003</v>
      </c>
      <c r="P3" s="13">
        <f>N3/(M3+N3)</f>
        <v>0.59614711033274959</v>
      </c>
      <c r="Q3" s="58">
        <f>[11]PARS_cds_stat_freq_10_chi_squar!E3</f>
        <v>313.42437149232302</v>
      </c>
      <c r="R3" s="59">
        <f>[11]PARS_cds_stat_freq_10_chi_squar!F3</f>
        <v>3.9197999999999998E-70</v>
      </c>
      <c r="S3" s="7"/>
    </row>
    <row r="4" spans="1:29" x14ac:dyDescent="0.15">
      <c r="A4" s="2" t="s">
        <v>38</v>
      </c>
      <c r="B4" s="11">
        <f>[3]PARS_cds_stat_SNPs_freq_10!B3</f>
        <v>3409</v>
      </c>
      <c r="C4" s="37">
        <f>[4]PARS_cds_stat_gene_freq_10!B3</f>
        <v>1363</v>
      </c>
      <c r="D4" s="11">
        <f>[5]PARS_cds_stat_stem_freq_10!B3</f>
        <v>2030</v>
      </c>
      <c r="E4" s="11">
        <f>[6]PARS_cds_stat_loop_freq_10!B3</f>
        <v>1379</v>
      </c>
      <c r="F4" s="4">
        <f>[7]PARS_cds_stat_stem_AT_GC_freq_1!B3</f>
        <v>818</v>
      </c>
      <c r="G4" s="11">
        <f>[8]PARS_cds_stat_loop_AT_GC_freq_1!B3</f>
        <v>700</v>
      </c>
      <c r="H4" s="4">
        <f>[9]PARS_cds_stat_stem_GC_AT_freq_1!B3</f>
        <v>989</v>
      </c>
      <c r="I4" s="4">
        <f>[10]PARS_cds_stat_loop_GC_AT_freq_1!B3</f>
        <v>540</v>
      </c>
      <c r="J4" s="4"/>
      <c r="K4" s="60"/>
      <c r="L4" s="2" t="s">
        <v>22</v>
      </c>
      <c r="M4" s="11">
        <f>[11]PARS_cds_stat_freq_10_chi_squar!B3</f>
        <v>4041</v>
      </c>
      <c r="N4" s="11">
        <f>[11]PARS_cds_stat_freq_10_chi_squar!C3</f>
        <v>3518</v>
      </c>
      <c r="O4" s="10">
        <f>[11]PARS_cds_stat_freq_10_chi_squar!D3</f>
        <v>0.53459452308506406</v>
      </c>
      <c r="P4" s="13">
        <f t="shared" ref="P4:P22" si="0">N4/(M4+N4)</f>
        <v>0.46540547691493583</v>
      </c>
      <c r="Q4" s="58"/>
      <c r="R4" s="59"/>
      <c r="S4" s="7"/>
    </row>
    <row r="5" spans="1:29" x14ac:dyDescent="0.15">
      <c r="A5" s="2" t="s">
        <v>53</v>
      </c>
      <c r="B5" s="11">
        <f>[3]PARS_cds_stat_SNPs_freq_10!B4</f>
        <v>2018</v>
      </c>
      <c r="C5" s="37">
        <f>[4]PARS_cds_stat_gene_freq_10!B4</f>
        <v>998</v>
      </c>
      <c r="D5" s="11">
        <f>[5]PARS_cds_stat_stem_freq_10!B4</f>
        <v>1193</v>
      </c>
      <c r="E5" s="11">
        <f>[6]PARS_cds_stat_loop_freq_10!B4</f>
        <v>825</v>
      </c>
      <c r="F5" s="4">
        <f>[7]PARS_cds_stat_stem_AT_GC_freq_1!B4</f>
        <v>537</v>
      </c>
      <c r="G5" s="11">
        <f>[8]PARS_cds_stat_loop_AT_GC_freq_1!B4</f>
        <v>447</v>
      </c>
      <c r="H5" s="4">
        <f>[9]PARS_cds_stat_stem_GC_AT_freq_1!B4</f>
        <v>557</v>
      </c>
      <c r="I5" s="4">
        <f>[10]PARS_cds_stat_loop_GC_AT_freq_1!B4</f>
        <v>307</v>
      </c>
      <c r="J5" s="4"/>
      <c r="K5" s="60" t="s">
        <v>9</v>
      </c>
      <c r="L5" s="2" t="s">
        <v>21</v>
      </c>
      <c r="M5" s="11">
        <f>[11]PARS_cds_stat_freq_10_chi_squar!B4</f>
        <v>818</v>
      </c>
      <c r="N5" s="11">
        <f>[11]PARS_cds_stat_freq_10_chi_squar!C4</f>
        <v>989</v>
      </c>
      <c r="O5" s="10">
        <f>[11]PARS_cds_stat_freq_10_chi_squar!D4</f>
        <v>0.45268400664084102</v>
      </c>
      <c r="P5" s="13">
        <f t="shared" si="0"/>
        <v>0.54731599335915881</v>
      </c>
      <c r="Q5" s="58">
        <f>[11]PARS_cds_stat_freq_10_chi_squar!E5</f>
        <v>36.7879992814714</v>
      </c>
      <c r="R5" s="59">
        <f>[11]PARS_cds_stat_freq_10_chi_squar!F5</f>
        <v>1.3169999999999999E-9</v>
      </c>
      <c r="S5" s="7"/>
    </row>
    <row r="6" spans="1:29" x14ac:dyDescent="0.15">
      <c r="A6" s="2" t="s">
        <v>54</v>
      </c>
      <c r="B6" s="11">
        <f>[3]PARS_cds_stat_SNPs_freq_10!B5</f>
        <v>1419</v>
      </c>
      <c r="C6" s="37">
        <f>[4]PARS_cds_stat_gene_freq_10!B5</f>
        <v>815</v>
      </c>
      <c r="D6" s="11">
        <f>[5]PARS_cds_stat_stem_freq_10!B5</f>
        <v>829</v>
      </c>
      <c r="E6" s="11">
        <f>[6]PARS_cds_stat_loop_freq_10!B5</f>
        <v>590</v>
      </c>
      <c r="F6" s="4">
        <f>[7]PARS_cds_stat_stem_AT_GC_freq_1!B5</f>
        <v>397</v>
      </c>
      <c r="G6" s="11">
        <f>[8]PARS_cds_stat_loop_AT_GC_freq_1!B5</f>
        <v>301</v>
      </c>
      <c r="H6" s="4">
        <f>[9]PARS_cds_stat_stem_GC_AT_freq_1!B5</f>
        <v>379</v>
      </c>
      <c r="I6" s="4">
        <f>[10]PARS_cds_stat_loop_GC_AT_freq_1!B5</f>
        <v>243</v>
      </c>
      <c r="J6" s="4"/>
      <c r="K6" s="60"/>
      <c r="L6" s="2" t="s">
        <v>22</v>
      </c>
      <c r="M6" s="11">
        <f>[11]PARS_cds_stat_freq_10_chi_squar!B5</f>
        <v>700</v>
      </c>
      <c r="N6" s="11">
        <f>[11]PARS_cds_stat_freq_10_chi_squar!C5</f>
        <v>540</v>
      </c>
      <c r="O6" s="10">
        <f>[11]PARS_cds_stat_freq_10_chi_squar!D5</f>
        <v>0.56451612903225801</v>
      </c>
      <c r="P6" s="13">
        <f t="shared" si="0"/>
        <v>0.43548387096774194</v>
      </c>
      <c r="Q6" s="58">
        <f>[11]PARS_cds_stat_freq_10_chi_squar!E6</f>
        <v>0</v>
      </c>
      <c r="R6" s="59">
        <f>[11]PARS_cds_stat_freq_10_chi_squar!F6</f>
        <v>0</v>
      </c>
      <c r="S6" s="7"/>
    </row>
    <row r="7" spans="1:29" x14ac:dyDescent="0.15">
      <c r="A7" s="2" t="s">
        <v>55</v>
      </c>
      <c r="B7" s="11">
        <f>[3]PARS_cds_stat_SNPs_freq_10!B6</f>
        <v>1344</v>
      </c>
      <c r="C7" s="37">
        <f>[4]PARS_cds_stat_gene_freq_10!B6</f>
        <v>696</v>
      </c>
      <c r="D7" s="11">
        <f>[5]PARS_cds_stat_stem_freq_10!B6</f>
        <v>804</v>
      </c>
      <c r="E7" s="11">
        <f>[6]PARS_cds_stat_loop_freq_10!B6</f>
        <v>540</v>
      </c>
      <c r="F7" s="4">
        <f>[7]PARS_cds_stat_stem_AT_GC_freq_1!B6</f>
        <v>407</v>
      </c>
      <c r="G7" s="11">
        <f>[8]PARS_cds_stat_loop_AT_GC_freq_1!B6</f>
        <v>273</v>
      </c>
      <c r="H7" s="4">
        <f>[9]PARS_cds_stat_stem_GC_AT_freq_1!B6</f>
        <v>334</v>
      </c>
      <c r="I7" s="4">
        <f>[10]PARS_cds_stat_loop_GC_AT_freq_1!B6</f>
        <v>228</v>
      </c>
      <c r="J7" s="4"/>
      <c r="K7" s="60" t="s">
        <v>10</v>
      </c>
      <c r="L7" s="2" t="s">
        <v>21</v>
      </c>
      <c r="M7" s="11">
        <f>[11]PARS_cds_stat_freq_10_chi_squar!B6</f>
        <v>537</v>
      </c>
      <c r="N7" s="11">
        <f>[11]PARS_cds_stat_freq_10_chi_squar!C6</f>
        <v>557</v>
      </c>
      <c r="O7" s="10">
        <f>[11]PARS_cds_stat_freq_10_chi_squar!D6</f>
        <v>0.49085923217550298</v>
      </c>
      <c r="P7" s="13">
        <f t="shared" si="0"/>
        <v>0.50914076782449724</v>
      </c>
      <c r="Q7" s="58">
        <f>[11]PARS_cds_stat_freq_10_chi_squar!E7</f>
        <v>18.646743041388198</v>
      </c>
      <c r="R7" s="59">
        <f>[11]PARS_cds_stat_freq_10_chi_squar!F7</f>
        <v>1.5732000000000001E-5</v>
      </c>
      <c r="S7" s="7"/>
    </row>
    <row r="8" spans="1:29" x14ac:dyDescent="0.15">
      <c r="A8" s="2" t="s">
        <v>56</v>
      </c>
      <c r="B8" s="11">
        <f>[3]PARS_cds_stat_SNPs_freq_10!B7</f>
        <v>1265</v>
      </c>
      <c r="C8" s="37">
        <f>[4]PARS_cds_stat_gene_freq_10!B7</f>
        <v>647</v>
      </c>
      <c r="D8" s="11">
        <f>[5]PARS_cds_stat_stem_freq_10!B7</f>
        <v>742</v>
      </c>
      <c r="E8" s="11">
        <f>[6]PARS_cds_stat_loop_freq_10!B7</f>
        <v>523</v>
      </c>
      <c r="F8" s="4">
        <f>[7]PARS_cds_stat_stem_AT_GC_freq_1!B7</f>
        <v>401</v>
      </c>
      <c r="G8" s="11">
        <f>[8]PARS_cds_stat_loop_AT_GC_freq_1!B7</f>
        <v>248</v>
      </c>
      <c r="H8" s="4">
        <f>[9]PARS_cds_stat_stem_GC_AT_freq_1!B7</f>
        <v>278</v>
      </c>
      <c r="I8" s="4">
        <f>[10]PARS_cds_stat_loop_GC_AT_freq_1!B7</f>
        <v>237</v>
      </c>
      <c r="J8" s="4"/>
      <c r="K8" s="60"/>
      <c r="L8" s="2" t="s">
        <v>22</v>
      </c>
      <c r="M8" s="11">
        <f>[11]PARS_cds_stat_freq_10_chi_squar!B7</f>
        <v>447</v>
      </c>
      <c r="N8" s="11">
        <f>[11]PARS_cds_stat_freq_10_chi_squar!C7</f>
        <v>307</v>
      </c>
      <c r="O8" s="10">
        <f>[11]PARS_cds_stat_freq_10_chi_squar!D7</f>
        <v>0.59283819628647205</v>
      </c>
      <c r="P8" s="13">
        <f t="shared" si="0"/>
        <v>0.40716180371352784</v>
      </c>
      <c r="Q8" s="58">
        <f>[11]PARS_cds_stat_freq_10_chi_squar!E8</f>
        <v>0</v>
      </c>
      <c r="R8" s="59">
        <f>[11]PARS_cds_stat_freq_10_chi_squar!F8</f>
        <v>0</v>
      </c>
    </row>
    <row r="9" spans="1:29" x14ac:dyDescent="0.15">
      <c r="A9" s="2" t="s">
        <v>57</v>
      </c>
      <c r="B9" s="11">
        <f>[3]PARS_cds_stat_SNPs_freq_10!B8</f>
        <v>990</v>
      </c>
      <c r="C9" s="37">
        <f>[4]PARS_cds_stat_gene_freq_10!B8</f>
        <v>599</v>
      </c>
      <c r="D9" s="11">
        <f>[5]PARS_cds_stat_stem_freq_10!B8</f>
        <v>614</v>
      </c>
      <c r="E9" s="11">
        <f>[6]PARS_cds_stat_loop_freq_10!B8</f>
        <v>376</v>
      </c>
      <c r="F9" s="4">
        <f>[7]PARS_cds_stat_stem_AT_GC_freq_1!B8</f>
        <v>310</v>
      </c>
      <c r="G9" s="11">
        <f>[8]PARS_cds_stat_loop_AT_GC_freq_1!B8</f>
        <v>168</v>
      </c>
      <c r="H9" s="4">
        <f>[9]PARS_cds_stat_stem_GC_AT_freq_1!B8</f>
        <v>248</v>
      </c>
      <c r="I9" s="4">
        <f>[10]PARS_cds_stat_loop_GC_AT_freq_1!B8</f>
        <v>179</v>
      </c>
      <c r="J9" s="4"/>
      <c r="K9" s="60" t="s">
        <v>11</v>
      </c>
      <c r="L9" s="2" t="s">
        <v>21</v>
      </c>
      <c r="M9" s="11">
        <f>[11]PARS_cds_stat_freq_10_chi_squar!B8</f>
        <v>397</v>
      </c>
      <c r="N9" s="11">
        <f>[11]PARS_cds_stat_freq_10_chi_squar!C8</f>
        <v>379</v>
      </c>
      <c r="O9" s="10">
        <f>[11]PARS_cds_stat_freq_10_chi_squar!D8</f>
        <v>0.51159793814432997</v>
      </c>
      <c r="P9" s="13">
        <f t="shared" si="0"/>
        <v>0.48840206185567009</v>
      </c>
      <c r="Q9" s="58">
        <f>[11]PARS_cds_stat_freq_10_chi_squar!E9</f>
        <v>2.23299403029299</v>
      </c>
      <c r="R9" s="59">
        <f>[11]PARS_cds_stat_freq_10_chi_squar!F9</f>
        <v>0.13508999999999999</v>
      </c>
    </row>
    <row r="10" spans="1:29" x14ac:dyDescent="0.15">
      <c r="A10" s="2" t="s">
        <v>58</v>
      </c>
      <c r="B10" s="11">
        <f>[3]PARS_cds_stat_SNPs_freq_10!B9</f>
        <v>1131</v>
      </c>
      <c r="C10" s="37">
        <f>[4]PARS_cds_stat_gene_freq_10!B9</f>
        <v>640</v>
      </c>
      <c r="D10" s="11">
        <f>[5]PARS_cds_stat_stem_freq_10!B9</f>
        <v>676</v>
      </c>
      <c r="E10" s="11">
        <f>[6]PARS_cds_stat_loop_freq_10!B9</f>
        <v>455</v>
      </c>
      <c r="F10" s="4">
        <f>[7]PARS_cds_stat_stem_AT_GC_freq_1!B9</f>
        <v>340</v>
      </c>
      <c r="G10" s="11">
        <f>[8]PARS_cds_stat_loop_AT_GC_freq_1!B9</f>
        <v>197</v>
      </c>
      <c r="H10" s="4">
        <f>[9]PARS_cds_stat_stem_GC_AT_freq_1!B9</f>
        <v>286</v>
      </c>
      <c r="I10" s="4">
        <f>[10]PARS_cds_stat_loop_GC_AT_freq_1!B9</f>
        <v>226</v>
      </c>
      <c r="J10" s="4"/>
      <c r="K10" s="60"/>
      <c r="L10" s="2" t="s">
        <v>22</v>
      </c>
      <c r="M10" s="11">
        <f>[11]PARS_cds_stat_freq_10_chi_squar!B9</f>
        <v>301</v>
      </c>
      <c r="N10" s="11">
        <f>[11]PARS_cds_stat_freq_10_chi_squar!C9</f>
        <v>243</v>
      </c>
      <c r="O10" s="10">
        <f>[11]PARS_cds_stat_freq_10_chi_squar!D9</f>
        <v>0.55330882352941202</v>
      </c>
      <c r="P10" s="13">
        <f t="shared" si="0"/>
        <v>0.44669117647058826</v>
      </c>
      <c r="Q10" s="58">
        <f>[11]PARS_cds_stat_freq_10_chi_squar!E10</f>
        <v>0</v>
      </c>
      <c r="R10" s="59">
        <f>[11]PARS_cds_stat_freq_10_chi_squar!F10</f>
        <v>0</v>
      </c>
    </row>
    <row r="11" spans="1:29" x14ac:dyDescent="0.15">
      <c r="A11" s="2" t="s">
        <v>59</v>
      </c>
      <c r="B11" s="11">
        <f>[3]PARS_cds_stat_SNPs_freq_10!B10</f>
        <v>1383</v>
      </c>
      <c r="C11" s="37">
        <f>[4]PARS_cds_stat_gene_freq_10!B10</f>
        <v>741</v>
      </c>
      <c r="D11" s="11">
        <f>[5]PARS_cds_stat_stem_freq_10!B10</f>
        <v>830</v>
      </c>
      <c r="E11" s="11">
        <f>[6]PARS_cds_stat_loop_freq_10!B10</f>
        <v>553</v>
      </c>
      <c r="F11" s="4">
        <f>[7]PARS_cds_stat_stem_AT_GC_freq_1!B10</f>
        <v>467</v>
      </c>
      <c r="G11" s="11">
        <f>[8]PARS_cds_stat_loop_AT_GC_freq_1!B10</f>
        <v>283</v>
      </c>
      <c r="H11" s="4">
        <f>[9]PARS_cds_stat_stem_GC_AT_freq_1!B10</f>
        <v>325</v>
      </c>
      <c r="I11" s="4">
        <f>[10]PARS_cds_stat_loop_GC_AT_freq_1!B10</f>
        <v>242</v>
      </c>
      <c r="J11" s="4"/>
      <c r="K11" s="60" t="s">
        <v>12</v>
      </c>
      <c r="L11" s="2" t="s">
        <v>21</v>
      </c>
      <c r="M11" s="11">
        <f>[11]PARS_cds_stat_freq_10_chi_squar!B10</f>
        <v>407</v>
      </c>
      <c r="N11" s="11">
        <f>[11]PARS_cds_stat_freq_10_chi_squar!C10</f>
        <v>334</v>
      </c>
      <c r="O11" s="10">
        <f>[11]PARS_cds_stat_freq_10_chi_squar!D10</f>
        <v>0.54925775978407598</v>
      </c>
      <c r="P11" s="13">
        <f t="shared" si="0"/>
        <v>0.45074224021592441</v>
      </c>
      <c r="Q11" s="58">
        <f>[11]PARS_cds_stat_freq_10_chi_squar!E11</f>
        <v>2.2804864413889198E-2</v>
      </c>
      <c r="R11" s="59">
        <f>[11]PARS_cds_stat_freq_10_chi_squar!F11</f>
        <v>0.87997000000000003</v>
      </c>
    </row>
    <row r="12" spans="1:29" x14ac:dyDescent="0.15">
      <c r="A12" s="2" t="s">
        <v>60</v>
      </c>
      <c r="B12" s="11">
        <f>[3]PARS_cds_stat_SNPs_freq_10!B11</f>
        <v>3508</v>
      </c>
      <c r="C12" s="37">
        <f>[4]PARS_cds_stat_gene_freq_10!B11</f>
        <v>1383</v>
      </c>
      <c r="D12" s="11">
        <f>[5]PARS_cds_stat_stem_freq_10!B11</f>
        <v>2138</v>
      </c>
      <c r="E12" s="11">
        <f>[6]PARS_cds_stat_loop_freq_10!B11</f>
        <v>1370</v>
      </c>
      <c r="F12" s="4">
        <f>[7]PARS_cds_stat_stem_AT_GC_freq_1!B11</f>
        <v>1367</v>
      </c>
      <c r="G12" s="11">
        <f>[8]PARS_cds_stat_loop_AT_GC_freq_1!B11</f>
        <v>774</v>
      </c>
      <c r="H12" s="4">
        <f>[9]PARS_cds_stat_stem_GC_AT_freq_1!B11</f>
        <v>685</v>
      </c>
      <c r="I12" s="4">
        <f>[10]PARS_cds_stat_loop_GC_AT_freq_1!B11</f>
        <v>541</v>
      </c>
      <c r="J12" s="4"/>
      <c r="K12" s="60"/>
      <c r="L12" s="2" t="s">
        <v>22</v>
      </c>
      <c r="M12" s="11">
        <f>[11]PARS_cds_stat_freq_10_chi_squar!B11</f>
        <v>273</v>
      </c>
      <c r="N12" s="11">
        <f>[11]PARS_cds_stat_freq_10_chi_squar!C11</f>
        <v>228</v>
      </c>
      <c r="O12" s="10">
        <f>[11]PARS_cds_stat_freq_10_chi_squar!D11</f>
        <v>0.54491017964071897</v>
      </c>
      <c r="P12" s="13">
        <f t="shared" si="0"/>
        <v>0.45508982035928142</v>
      </c>
      <c r="Q12" s="58">
        <f>[11]PARS_cds_stat_freq_10_chi_squar!E12</f>
        <v>0</v>
      </c>
      <c r="R12" s="59">
        <f>[11]PARS_cds_stat_freq_10_chi_squar!F12</f>
        <v>0</v>
      </c>
    </row>
    <row r="13" spans="1:29" x14ac:dyDescent="0.15">
      <c r="A13" s="9" t="s">
        <v>61</v>
      </c>
      <c r="B13" s="51">
        <f t="shared" ref="B13:C13" si="1">SUM(B3:B12)</f>
        <v>38009</v>
      </c>
      <c r="C13" s="51">
        <f t="shared" si="1"/>
        <v>9921</v>
      </c>
      <c r="D13" s="9">
        <f>SUM(D3:D12)</f>
        <v>22782</v>
      </c>
      <c r="E13" s="9">
        <f t="shared" ref="E13:I13" si="2">SUM(E3:E12)</f>
        <v>15227</v>
      </c>
      <c r="F13" s="9">
        <f t="shared" si="2"/>
        <v>9656</v>
      </c>
      <c r="G13" s="9">
        <f t="shared" si="2"/>
        <v>7432</v>
      </c>
      <c r="H13" s="9">
        <f t="shared" si="2"/>
        <v>10889</v>
      </c>
      <c r="I13" s="9">
        <f t="shared" si="2"/>
        <v>6261</v>
      </c>
      <c r="K13" s="60" t="s">
        <v>13</v>
      </c>
      <c r="L13" s="2" t="s">
        <v>21</v>
      </c>
      <c r="M13" s="11">
        <f>[11]PARS_cds_stat_freq_10_chi_squar!B12</f>
        <v>401</v>
      </c>
      <c r="N13" s="11">
        <f>[11]PARS_cds_stat_freq_10_chi_squar!C12</f>
        <v>278</v>
      </c>
      <c r="O13" s="10">
        <f>[11]PARS_cds_stat_freq_10_chi_squar!D12</f>
        <v>0.59057437407952895</v>
      </c>
      <c r="P13" s="13">
        <f t="shared" si="0"/>
        <v>0.40942562592047127</v>
      </c>
      <c r="Q13" s="58">
        <f>[11]PARS_cds_stat_freq_10_chi_squar!E13</f>
        <v>7.2000841153251898</v>
      </c>
      <c r="R13" s="59">
        <f>[11]PARS_cds_stat_freq_10_chi_squar!F13</f>
        <v>7.2899999999999996E-3</v>
      </c>
    </row>
    <row r="14" spans="1:29" x14ac:dyDescent="0.15">
      <c r="A14" s="9"/>
      <c r="B14" s="9"/>
      <c r="C14" s="9"/>
      <c r="D14" s="9"/>
      <c r="E14" s="9"/>
      <c r="F14" s="9"/>
      <c r="G14" s="9"/>
      <c r="H14" s="9"/>
      <c r="I14" s="9"/>
      <c r="K14" s="60"/>
      <c r="L14" s="2" t="s">
        <v>22</v>
      </c>
      <c r="M14" s="11">
        <f>[11]PARS_cds_stat_freq_10_chi_squar!B13</f>
        <v>248</v>
      </c>
      <c r="N14" s="11">
        <f>[11]PARS_cds_stat_freq_10_chi_squar!C13</f>
        <v>237</v>
      </c>
      <c r="O14" s="10">
        <f>[11]PARS_cds_stat_freq_10_chi_squar!D13</f>
        <v>0.51134020618556697</v>
      </c>
      <c r="P14" s="13">
        <f t="shared" si="0"/>
        <v>0.48865979381443297</v>
      </c>
      <c r="Q14" s="58">
        <f>[11]PARS_cds_stat_freq_10_chi_squar!E14</f>
        <v>0</v>
      </c>
      <c r="R14" s="59">
        <f>[11]PARS_cds_stat_freq_10_chi_squar!F14</f>
        <v>0</v>
      </c>
    </row>
    <row r="15" spans="1:29" x14ac:dyDescent="0.15">
      <c r="A15" s="9"/>
      <c r="B15" s="9"/>
      <c r="C15" s="9"/>
      <c r="D15" s="9"/>
      <c r="E15" s="9"/>
      <c r="F15" s="9"/>
      <c r="G15" s="9"/>
      <c r="H15" s="9"/>
      <c r="I15" s="9"/>
      <c r="K15" s="60" t="s">
        <v>14</v>
      </c>
      <c r="L15" s="2" t="s">
        <v>21</v>
      </c>
      <c r="M15" s="11">
        <f>[11]PARS_cds_stat_freq_10_chi_squar!B14</f>
        <v>310</v>
      </c>
      <c r="N15" s="11">
        <f>[11]PARS_cds_stat_freq_10_chi_squar!C14</f>
        <v>248</v>
      </c>
      <c r="O15" s="10">
        <f>[11]PARS_cds_stat_freq_10_chi_squar!D14</f>
        <v>0.55555555555555602</v>
      </c>
      <c r="P15" s="13">
        <f t="shared" si="0"/>
        <v>0.44444444444444442</v>
      </c>
      <c r="Q15" s="58">
        <f>[11]PARS_cds_stat_freq_10_chi_squar!E15</f>
        <v>4.3774605303801302</v>
      </c>
      <c r="R15" s="59">
        <f>[11]PARS_cds_stat_freq_10_chi_squar!F15</f>
        <v>3.6416999999999998E-2</v>
      </c>
    </row>
    <row r="16" spans="1:29" x14ac:dyDescent="0.15">
      <c r="A16" s="9" t="s">
        <v>62</v>
      </c>
      <c r="B16" s="9"/>
      <c r="C16" s="9"/>
      <c r="D16" s="9" t="s">
        <v>18</v>
      </c>
      <c r="E16" s="9" t="s">
        <v>35</v>
      </c>
      <c r="F16" s="9" t="s">
        <v>36</v>
      </c>
      <c r="G16" s="9" t="s">
        <v>25</v>
      </c>
      <c r="H16" s="9" t="s">
        <v>31</v>
      </c>
      <c r="I16" s="9" t="s">
        <v>32</v>
      </c>
      <c r="K16" s="60"/>
      <c r="L16" s="2" t="s">
        <v>22</v>
      </c>
      <c r="M16" s="11">
        <f>[11]PARS_cds_stat_freq_10_chi_squar!B15</f>
        <v>168</v>
      </c>
      <c r="N16" s="11">
        <f>[11]PARS_cds_stat_freq_10_chi_squar!C15</f>
        <v>179</v>
      </c>
      <c r="O16" s="10">
        <f>[11]PARS_cds_stat_freq_10_chi_squar!D15</f>
        <v>0.48414985590778098</v>
      </c>
      <c r="P16" s="13">
        <f t="shared" si="0"/>
        <v>0.51585014409221897</v>
      </c>
      <c r="Q16" s="58">
        <f>[11]PARS_cds_stat_freq_10_chi_squar!E16</f>
        <v>0</v>
      </c>
      <c r="R16" s="59">
        <f>[11]PARS_cds_stat_freq_10_chi_squar!F16</f>
        <v>0</v>
      </c>
    </row>
    <row r="17" spans="1:18" x14ac:dyDescent="0.15">
      <c r="A17" s="9" t="s">
        <v>52</v>
      </c>
      <c r="B17" s="51">
        <f>B3/B$13</f>
        <v>0.56676050409113632</v>
      </c>
      <c r="C17" s="51">
        <f t="shared" ref="C17" si="3">C3/C$13</f>
        <v>0.20552363673016832</v>
      </c>
      <c r="D17" s="25">
        <f t="shared" ref="D17:H17" si="4">D3/D$13</f>
        <v>0.56737775436748306</v>
      </c>
      <c r="E17" s="25">
        <f t="shared" si="4"/>
        <v>0.56583700006567283</v>
      </c>
      <c r="F17" s="25">
        <f t="shared" si="4"/>
        <v>0.47763048881524439</v>
      </c>
      <c r="G17" s="25">
        <f t="shared" si="4"/>
        <v>0.54372981700753498</v>
      </c>
      <c r="H17" s="25">
        <f t="shared" si="4"/>
        <v>0.62521811001928551</v>
      </c>
      <c r="I17" s="9">
        <f t="shared" ref="I17" si="5">I3/I$13</f>
        <v>0.56189107171378372</v>
      </c>
      <c r="K17" s="60" t="s">
        <v>15</v>
      </c>
      <c r="L17" s="2" t="s">
        <v>21</v>
      </c>
      <c r="M17" s="11">
        <f>[11]PARS_cds_stat_freq_10_chi_squar!B16</f>
        <v>340</v>
      </c>
      <c r="N17" s="11">
        <f>[11]PARS_cds_stat_freq_10_chi_squar!C16</f>
        <v>286</v>
      </c>
      <c r="O17" s="10">
        <f>[11]PARS_cds_stat_freq_10_chi_squar!D16</f>
        <v>0.54313099041533497</v>
      </c>
      <c r="P17" s="13">
        <f t="shared" si="0"/>
        <v>0.45686900958466453</v>
      </c>
      <c r="Q17" s="58">
        <f>[11]PARS_cds_stat_freq_10_chi_squar!E17</f>
        <v>6.0539596010968104</v>
      </c>
      <c r="R17" s="59">
        <f>[11]PARS_cds_stat_freq_10_chi_squar!F17</f>
        <v>1.3875E-2</v>
      </c>
    </row>
    <row r="18" spans="1:18" x14ac:dyDescent="0.15">
      <c r="A18" s="9" t="s">
        <v>38</v>
      </c>
      <c r="B18" s="51">
        <f t="shared" ref="B18:C18" si="6">B4/B$13</f>
        <v>8.9689284116919676E-2</v>
      </c>
      <c r="C18" s="51">
        <f t="shared" si="6"/>
        <v>0.13738534421933274</v>
      </c>
      <c r="D18" s="25">
        <f t="shared" ref="D18:H18" si="7">D4/D$13</f>
        <v>8.9105434114651924E-2</v>
      </c>
      <c r="E18" s="25">
        <f t="shared" si="7"/>
        <v>9.0562816050436729E-2</v>
      </c>
      <c r="F18" s="25">
        <f t="shared" si="7"/>
        <v>8.4714167357083675E-2</v>
      </c>
      <c r="G18" s="25">
        <f t="shared" si="7"/>
        <v>9.4187298170075345E-2</v>
      </c>
      <c r="H18" s="25">
        <f t="shared" si="7"/>
        <v>9.082560382036918E-2</v>
      </c>
      <c r="I18" s="9">
        <f>I4/I$13</f>
        <v>8.6248203162434117E-2</v>
      </c>
      <c r="K18" s="60"/>
      <c r="L18" s="2" t="s">
        <v>22</v>
      </c>
      <c r="M18" s="11">
        <f>[11]PARS_cds_stat_freq_10_chi_squar!B17</f>
        <v>197</v>
      </c>
      <c r="N18" s="11">
        <f>[11]PARS_cds_stat_freq_10_chi_squar!C17</f>
        <v>226</v>
      </c>
      <c r="O18" s="10">
        <f>[11]PARS_cds_stat_freq_10_chi_squar!D17</f>
        <v>0.46572104018912502</v>
      </c>
      <c r="P18" s="13">
        <f t="shared" si="0"/>
        <v>0.5342789598108747</v>
      </c>
      <c r="Q18" s="58">
        <f>[11]PARS_cds_stat_freq_10_chi_squar!E18</f>
        <v>0</v>
      </c>
      <c r="R18" s="59">
        <f>[11]PARS_cds_stat_freq_10_chi_squar!F18</f>
        <v>0</v>
      </c>
    </row>
    <row r="19" spans="1:18" x14ac:dyDescent="0.15">
      <c r="A19" s="9" t="s">
        <v>53</v>
      </c>
      <c r="B19" s="51">
        <f t="shared" ref="B19:C19" si="8">B5/B$13</f>
        <v>5.3092688573758845E-2</v>
      </c>
      <c r="C19" s="51">
        <f t="shared" si="8"/>
        <v>0.10059469811510936</v>
      </c>
      <c r="D19" s="25">
        <f t="shared" ref="D19:H19" si="9">D5/D$13</f>
        <v>5.2365902905802827E-2</v>
      </c>
      <c r="E19" s="25">
        <f t="shared" si="9"/>
        <v>5.4180074867012547E-2</v>
      </c>
      <c r="F19" s="25">
        <f t="shared" si="9"/>
        <v>5.5613090306545154E-2</v>
      </c>
      <c r="G19" s="25">
        <f t="shared" si="9"/>
        <v>6.0145317545748117E-2</v>
      </c>
      <c r="H19" s="25">
        <f t="shared" si="9"/>
        <v>5.1152539259803474E-2</v>
      </c>
      <c r="I19" s="9">
        <f t="shared" ref="I19:I26" si="10">I5/I$13</f>
        <v>4.9033700686791248E-2</v>
      </c>
      <c r="K19" s="60" t="s">
        <v>16</v>
      </c>
      <c r="L19" s="2" t="s">
        <v>21</v>
      </c>
      <c r="M19" s="11">
        <f>[11]PARS_cds_stat_freq_10_chi_squar!B18</f>
        <v>467</v>
      </c>
      <c r="N19" s="11">
        <f>[11]PARS_cds_stat_freq_10_chi_squar!C18</f>
        <v>325</v>
      </c>
      <c r="O19" s="10">
        <f>[11]PARS_cds_stat_freq_10_chi_squar!D18</f>
        <v>0.58964646464646497</v>
      </c>
      <c r="P19" s="13">
        <f t="shared" si="0"/>
        <v>0.41035353535353536</v>
      </c>
      <c r="Q19" s="58">
        <f>[11]PARS_cds_stat_freq_10_chi_squar!E19</f>
        <v>3.2969104790917401</v>
      </c>
      <c r="R19" s="59">
        <f>[11]PARS_cds_stat_freq_10_chi_squar!F19</f>
        <v>6.9409999999999999E-2</v>
      </c>
    </row>
    <row r="20" spans="1:18" x14ac:dyDescent="0.15">
      <c r="A20" s="9" t="s">
        <v>54</v>
      </c>
      <c r="B20" s="51">
        <f t="shared" ref="B20:C20" si="11">B6/B$13</f>
        <v>3.73332631745113E-2</v>
      </c>
      <c r="C20" s="51">
        <f t="shared" si="11"/>
        <v>8.2148976917649427E-2</v>
      </c>
      <c r="D20" s="25">
        <f t="shared" ref="D20:H20" si="12">D6/D$13</f>
        <v>3.6388376788692826E-2</v>
      </c>
      <c r="E20" s="25">
        <f t="shared" si="12"/>
        <v>3.8746962632166544E-2</v>
      </c>
      <c r="F20" s="25">
        <f t="shared" si="12"/>
        <v>4.1114333057166531E-2</v>
      </c>
      <c r="G20" s="25">
        <f t="shared" si="12"/>
        <v>4.0500538213132403E-2</v>
      </c>
      <c r="H20" s="25">
        <f t="shared" si="12"/>
        <v>3.4805767288088894E-2</v>
      </c>
      <c r="I20" s="9">
        <f t="shared" si="10"/>
        <v>3.8811691423095353E-2</v>
      </c>
      <c r="K20" s="60"/>
      <c r="L20" s="2" t="s">
        <v>22</v>
      </c>
      <c r="M20" s="11">
        <f>[11]PARS_cds_stat_freq_10_chi_squar!B19</f>
        <v>283</v>
      </c>
      <c r="N20" s="11">
        <f>[11]PARS_cds_stat_freq_10_chi_squar!C19</f>
        <v>242</v>
      </c>
      <c r="O20" s="10">
        <f>[11]PARS_cds_stat_freq_10_chi_squar!D19</f>
        <v>0.539047619047619</v>
      </c>
      <c r="P20" s="13">
        <f t="shared" si="0"/>
        <v>0.46095238095238095</v>
      </c>
      <c r="Q20" s="58">
        <f>[11]PARS_cds_stat_freq_10_chi_squar!E20</f>
        <v>0</v>
      </c>
      <c r="R20" s="59">
        <f>[11]PARS_cds_stat_freq_10_chi_squar!F20</f>
        <v>0</v>
      </c>
    </row>
    <row r="21" spans="1:18" x14ac:dyDescent="0.15">
      <c r="A21" s="9" t="s">
        <v>55</v>
      </c>
      <c r="B21" s="51">
        <f t="shared" ref="B21:C21" si="13">B7/B$13</f>
        <v>3.5360046304822541E-2</v>
      </c>
      <c r="C21" s="51">
        <f t="shared" si="13"/>
        <v>7.0154218324765649E-2</v>
      </c>
      <c r="D21" s="25">
        <f t="shared" ref="D21:H21" si="14">D7/D$13</f>
        <v>3.5291019225704504E-2</v>
      </c>
      <c r="E21" s="25">
        <f t="shared" si="14"/>
        <v>3.5463321731135485E-2</v>
      </c>
      <c r="F21" s="25">
        <f t="shared" si="14"/>
        <v>4.2149958574979288E-2</v>
      </c>
      <c r="G21" s="25">
        <f t="shared" si="14"/>
        <v>3.6733046286329389E-2</v>
      </c>
      <c r="H21" s="25">
        <f t="shared" si="14"/>
        <v>3.0673156396363303E-2</v>
      </c>
      <c r="I21" s="9">
        <f t="shared" si="10"/>
        <v>3.6415908001916623E-2</v>
      </c>
      <c r="K21" s="60" t="s">
        <v>17</v>
      </c>
      <c r="L21" s="2" t="s">
        <v>21</v>
      </c>
      <c r="M21" s="11">
        <f>[11]PARS_cds_stat_freq_10_chi_squar!B20</f>
        <v>1367</v>
      </c>
      <c r="N21" s="11">
        <f>[11]PARS_cds_stat_freq_10_chi_squar!C20</f>
        <v>685</v>
      </c>
      <c r="O21" s="10">
        <f>[11]PARS_cds_stat_freq_10_chi_squar!D20</f>
        <v>0.66617933723196898</v>
      </c>
      <c r="P21" s="13">
        <f t="shared" si="0"/>
        <v>0.33382066276803118</v>
      </c>
      <c r="Q21" s="58">
        <f>[11]PARS_cds_stat_freq_10_chi_squar!E21</f>
        <v>20.835687852448601</v>
      </c>
      <c r="R21" s="59">
        <f>[11]PARS_cds_stat_freq_10_chi_squar!F21</f>
        <v>5.0042000000000003E-6</v>
      </c>
    </row>
    <row r="22" spans="1:18" x14ac:dyDescent="0.15">
      <c r="A22" s="9" t="s">
        <v>56</v>
      </c>
      <c r="B22" s="51">
        <f t="shared" ref="B22:C22" si="15">B8/B$13</f>
        <v>3.3281591202083717E-2</v>
      </c>
      <c r="C22" s="51">
        <f t="shared" si="15"/>
        <v>6.5215200080637026E-2</v>
      </c>
      <c r="D22" s="25">
        <f t="shared" ref="D22:H22" si="16">D8/D$13</f>
        <v>3.2569572469493463E-2</v>
      </c>
      <c r="E22" s="25">
        <f t="shared" si="16"/>
        <v>3.4346883824784923E-2</v>
      </c>
      <c r="F22" s="25">
        <f t="shared" si="16"/>
        <v>4.1528583264291631E-2</v>
      </c>
      <c r="G22" s="25">
        <f t="shared" si="16"/>
        <v>3.3369214208826693E-2</v>
      </c>
      <c r="H22" s="25">
        <f t="shared" si="16"/>
        <v>2.5530351731104784E-2</v>
      </c>
      <c r="I22" s="9">
        <f t="shared" si="10"/>
        <v>3.7853378054623861E-2</v>
      </c>
      <c r="K22" s="60"/>
      <c r="L22" s="2" t="s">
        <v>22</v>
      </c>
      <c r="M22" s="11">
        <f>[11]PARS_cds_stat_freq_10_chi_squar!B21</f>
        <v>774</v>
      </c>
      <c r="N22" s="11">
        <f>[11]PARS_cds_stat_freq_10_chi_squar!C21</f>
        <v>541</v>
      </c>
      <c r="O22" s="10">
        <f>[11]PARS_cds_stat_freq_10_chi_squar!D21</f>
        <v>0.588593155893536</v>
      </c>
      <c r="P22" s="13">
        <f t="shared" si="0"/>
        <v>0.41140684410646389</v>
      </c>
      <c r="Q22" s="58">
        <f>[11]PARS_cds_stat_freq_10_chi_squar!E22</f>
        <v>0</v>
      </c>
      <c r="R22" s="59">
        <f>[11]PARS_cds_stat_freq_10_chi_squar!F22</f>
        <v>0</v>
      </c>
    </row>
    <row r="23" spans="1:18" x14ac:dyDescent="0.15">
      <c r="A23" s="9" t="s">
        <v>57</v>
      </c>
      <c r="B23" s="51">
        <f t="shared" ref="B23:C23" si="17">B9/B$13</f>
        <v>2.6046462679891604E-2</v>
      </c>
      <c r="C23" s="51">
        <f t="shared" si="17"/>
        <v>6.0376978127204918E-2</v>
      </c>
      <c r="D23" s="25">
        <f t="shared" ref="D23:H23" si="18">D9/D$13</f>
        <v>2.695110174699324E-2</v>
      </c>
      <c r="E23" s="25">
        <f t="shared" si="18"/>
        <v>2.4692979575753594E-2</v>
      </c>
      <c r="F23" s="25">
        <f t="shared" si="18"/>
        <v>3.2104391052195529E-2</v>
      </c>
      <c r="G23" s="25">
        <f t="shared" si="18"/>
        <v>2.2604951560818085E-2</v>
      </c>
      <c r="H23" s="25">
        <f t="shared" si="18"/>
        <v>2.2775277803287721E-2</v>
      </c>
      <c r="I23" s="9">
        <f t="shared" si="10"/>
        <v>2.8589682159399457E-2</v>
      </c>
      <c r="Q23" s="38"/>
      <c r="R23" s="39"/>
    </row>
    <row r="24" spans="1:18" x14ac:dyDescent="0.15">
      <c r="A24" s="9" t="s">
        <v>58</v>
      </c>
      <c r="B24" s="51">
        <f t="shared" ref="B24:C24" si="19">B10/B$13</f>
        <v>2.9756110394906471E-2</v>
      </c>
      <c r="C24" s="51">
        <f t="shared" si="19"/>
        <v>6.450962604576152E-2</v>
      </c>
      <c r="D24" s="25">
        <f t="shared" ref="D24:H24" si="20">D10/D$13</f>
        <v>2.9672548503204284E-2</v>
      </c>
      <c r="E24" s="25">
        <f t="shared" si="20"/>
        <v>2.9881132199382675E-2</v>
      </c>
      <c r="F24" s="25">
        <f t="shared" si="20"/>
        <v>3.5211267605633804E-2</v>
      </c>
      <c r="G24" s="25">
        <f t="shared" si="20"/>
        <v>2.6506996770721207E-2</v>
      </c>
      <c r="H24" s="25">
        <f t="shared" si="20"/>
        <v>2.6265038111856001E-2</v>
      </c>
      <c r="I24" s="9">
        <f t="shared" si="10"/>
        <v>3.6096470212426131E-2</v>
      </c>
    </row>
    <row r="25" spans="1:18" x14ac:dyDescent="0.15">
      <c r="A25" s="9" t="s">
        <v>59</v>
      </c>
      <c r="B25" s="51">
        <f t="shared" ref="B25:C25" si="21">B11/B$13</f>
        <v>3.63861190770607E-2</v>
      </c>
      <c r="C25" s="51">
        <f t="shared" si="21"/>
        <v>7.4690051406108252E-2</v>
      </c>
      <c r="D25" s="25">
        <f t="shared" ref="D25:H25" si="22">D11/D$13</f>
        <v>3.6432271091212359E-2</v>
      </c>
      <c r="E25" s="25">
        <f t="shared" si="22"/>
        <v>3.6317068365403563E-2</v>
      </c>
      <c r="F25" s="25">
        <f t="shared" si="22"/>
        <v>4.8363711681855839E-2</v>
      </c>
      <c r="G25" s="25">
        <f t="shared" si="22"/>
        <v>3.8078579117330466E-2</v>
      </c>
      <c r="H25" s="25">
        <f t="shared" si="22"/>
        <v>2.9846634218018184E-2</v>
      </c>
      <c r="I25" s="9">
        <f t="shared" si="10"/>
        <v>3.8651972528350106E-2</v>
      </c>
    </row>
    <row r="26" spans="1:18" x14ac:dyDescent="0.15">
      <c r="A26" s="9" t="s">
        <v>60</v>
      </c>
      <c r="B26" s="51">
        <f t="shared" ref="B26:C26" si="23">B12/B$13</f>
        <v>9.2293930384908837E-2</v>
      </c>
      <c r="C26" s="51">
        <f t="shared" si="23"/>
        <v>0.13940127003326278</v>
      </c>
      <c r="D26" s="25">
        <f t="shared" ref="D26:H26" si="24">D12/D$13</f>
        <v>9.3846018786761479E-2</v>
      </c>
      <c r="E26" s="25">
        <f t="shared" si="24"/>
        <v>8.9971760688251134E-2</v>
      </c>
      <c r="F26" s="25">
        <f t="shared" si="24"/>
        <v>0.14157000828500416</v>
      </c>
      <c r="G26" s="25">
        <f t="shared" si="24"/>
        <v>0.10414424111948331</v>
      </c>
      <c r="H26" s="25">
        <f t="shared" si="24"/>
        <v>6.290752135182294E-2</v>
      </c>
      <c r="I26" s="9">
        <f t="shared" si="10"/>
        <v>8.640792205717937E-2</v>
      </c>
    </row>
    <row r="29" spans="1:18" x14ac:dyDescent="0.15">
      <c r="A29" s="23" t="s">
        <v>63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8"/>
    </row>
    <row r="30" spans="1:18" x14ac:dyDescent="0.15">
      <c r="A30" s="17" t="s">
        <v>62</v>
      </c>
      <c r="B30" s="17" t="s">
        <v>5</v>
      </c>
      <c r="C30" s="17" t="s">
        <v>6</v>
      </c>
      <c r="D30" s="17" t="s">
        <v>18</v>
      </c>
      <c r="E30" s="17" t="s">
        <v>29</v>
      </c>
      <c r="F30" s="17" t="s">
        <v>24</v>
      </c>
      <c r="G30" s="17" t="s">
        <v>25</v>
      </c>
      <c r="H30" s="17" t="s">
        <v>31</v>
      </c>
      <c r="I30" s="17" t="s">
        <v>32</v>
      </c>
      <c r="J30" s="17"/>
      <c r="K30" s="17" t="s">
        <v>23</v>
      </c>
      <c r="L30" s="17" t="s">
        <v>19</v>
      </c>
      <c r="M30" s="17" t="s">
        <v>27</v>
      </c>
      <c r="N30" s="17" t="s">
        <v>26</v>
      </c>
      <c r="O30" s="18" t="s">
        <v>28</v>
      </c>
      <c r="P30" s="17" t="s">
        <v>37</v>
      </c>
      <c r="Q30" s="19" t="s">
        <v>34</v>
      </c>
      <c r="R30" s="20" t="s">
        <v>20</v>
      </c>
    </row>
    <row r="31" spans="1:18" x14ac:dyDescent="0.15">
      <c r="A31" s="17" t="s">
        <v>52</v>
      </c>
      <c r="B31" s="17">
        <f>[12]PARS_utr_stat_SNPs_freq_10!B2</f>
        <v>3370</v>
      </c>
      <c r="C31" s="17">
        <f>[13]PARS_utr_stat_gene_freq_10!B2</f>
        <v>1399</v>
      </c>
      <c r="D31" s="17">
        <f>[14]PARS_utr_stat_stem_freq_10!B2</f>
        <v>1873</v>
      </c>
      <c r="E31" s="17">
        <f>[15]PARS_utr_stat_loop_freq_10!B2</f>
        <v>1497</v>
      </c>
      <c r="F31" s="4">
        <f>[16]PARS_utr_stat_stem_AT_GC_freq_1!B2</f>
        <v>828</v>
      </c>
      <c r="G31" s="17">
        <f>[17]PARS_utr_stat_loop_AT_GC_freq_1!B2</f>
        <v>791</v>
      </c>
      <c r="H31" s="4">
        <f>[18]PARS_utr_stat_stem_GC_AT_freq_1!B2</f>
        <v>767</v>
      </c>
      <c r="I31" s="4">
        <f>[19]PARS_utr_stat_loop_GC_AT_freq_1!B2</f>
        <v>446</v>
      </c>
      <c r="J31" s="4"/>
      <c r="K31" s="60" t="s">
        <v>8</v>
      </c>
      <c r="L31" s="17" t="s">
        <v>21</v>
      </c>
      <c r="M31" s="17">
        <f>[20]PARS_utr_stat_freq_10_chi_squar!B2</f>
        <v>828</v>
      </c>
      <c r="N31" s="17">
        <f>[20]PARS_utr_stat_freq_10_chi_squar!C2</f>
        <v>767</v>
      </c>
      <c r="O31" s="18">
        <f>[20]PARS_utr_stat_freq_10_chi_squar!D2</f>
        <v>0.51912225705329196</v>
      </c>
      <c r="P31" s="18">
        <f>N31/(M31+N31)</f>
        <v>0.48087774294670849</v>
      </c>
      <c r="Q31" s="58">
        <f>[20]PARS_utr_stat_freq_10_chi_squar!E3</f>
        <v>41.195480216607002</v>
      </c>
      <c r="R31" s="59">
        <f>[20]PARS_utr_stat_freq_10_chi_squar!F3</f>
        <v>1.3774000000000001E-10</v>
      </c>
    </row>
    <row r="32" spans="1:18" x14ac:dyDescent="0.15">
      <c r="A32" s="17" t="s">
        <v>38</v>
      </c>
      <c r="B32" s="17">
        <f>[12]PARS_utr_stat_SNPs_freq_10!B3</f>
        <v>532</v>
      </c>
      <c r="C32" s="17">
        <f>[13]PARS_utr_stat_gene_freq_10!B3</f>
        <v>419</v>
      </c>
      <c r="D32" s="17">
        <f>[14]PARS_utr_stat_stem_freq_10!B3</f>
        <v>290</v>
      </c>
      <c r="E32" s="17">
        <f>[15]PARS_utr_stat_loop_freq_10!B3</f>
        <v>242</v>
      </c>
      <c r="F32" s="4">
        <f>[16]PARS_utr_stat_stem_AT_GC_freq_1!B3</f>
        <v>127</v>
      </c>
      <c r="G32" s="17">
        <f>[17]PARS_utr_stat_loop_AT_GC_freq_1!B3</f>
        <v>133</v>
      </c>
      <c r="H32" s="4">
        <f>[18]PARS_utr_stat_stem_GC_AT_freq_1!B3</f>
        <v>117</v>
      </c>
      <c r="I32" s="4">
        <f>[19]PARS_utr_stat_loop_GC_AT_freq_1!B3</f>
        <v>74</v>
      </c>
      <c r="J32" s="4"/>
      <c r="K32" s="60"/>
      <c r="L32" s="17" t="s">
        <v>22</v>
      </c>
      <c r="M32" s="17">
        <f>[20]PARS_utr_stat_freq_10_chi_squar!B3</f>
        <v>791</v>
      </c>
      <c r="N32" s="17">
        <f>[20]PARS_utr_stat_freq_10_chi_squar!C3</f>
        <v>446</v>
      </c>
      <c r="O32" s="18">
        <f>[20]PARS_utr_stat_freq_10_chi_squar!D3</f>
        <v>0.63945028294260298</v>
      </c>
      <c r="P32" s="18">
        <f t="shared" ref="P32:P50" si="25">N32/(M32+N32)</f>
        <v>0.36054971705739691</v>
      </c>
      <c r="Q32" s="58"/>
      <c r="R32" s="59"/>
    </row>
    <row r="33" spans="1:19" x14ac:dyDescent="0.15">
      <c r="A33" s="17" t="s">
        <v>53</v>
      </c>
      <c r="B33" s="17">
        <f>[12]PARS_utr_stat_SNPs_freq_10!B4</f>
        <v>320</v>
      </c>
      <c r="C33" s="17">
        <f>[13]PARS_utr_stat_gene_freq_10!B4</f>
        <v>267</v>
      </c>
      <c r="D33" s="17">
        <f>[14]PARS_utr_stat_stem_freq_10!B4</f>
        <v>171</v>
      </c>
      <c r="E33" s="17">
        <f>[15]PARS_utr_stat_loop_freq_10!B4</f>
        <v>149</v>
      </c>
      <c r="F33" s="4">
        <f>[16]PARS_utr_stat_stem_AT_GC_freq_1!B4</f>
        <v>78</v>
      </c>
      <c r="G33" s="17">
        <f>[17]PARS_utr_stat_loop_AT_GC_freq_1!B4</f>
        <v>75</v>
      </c>
      <c r="H33" s="4">
        <f>[18]PARS_utr_stat_stem_GC_AT_freq_1!B4</f>
        <v>69</v>
      </c>
      <c r="I33" s="4">
        <f>[19]PARS_utr_stat_loop_GC_AT_freq_1!B4</f>
        <v>49</v>
      </c>
      <c r="J33" s="4"/>
      <c r="K33" s="60" t="s">
        <v>9</v>
      </c>
      <c r="L33" s="17" t="s">
        <v>21</v>
      </c>
      <c r="M33" s="17">
        <f>[20]PARS_utr_stat_freq_10_chi_squar!B4</f>
        <v>127</v>
      </c>
      <c r="N33" s="17">
        <f>[20]PARS_utr_stat_freq_10_chi_squar!C4</f>
        <v>117</v>
      </c>
      <c r="O33" s="18">
        <f>[20]PARS_utr_stat_freq_10_chi_squar!D4</f>
        <v>0.52049180327868805</v>
      </c>
      <c r="P33" s="18">
        <f t="shared" si="25"/>
        <v>0.47950819672131145</v>
      </c>
      <c r="Q33" s="58">
        <f>[20]PARS_utr_stat_freq_10_chi_squar!E5</f>
        <v>6.8295799011483496</v>
      </c>
      <c r="R33" s="59">
        <f>[20]PARS_utr_stat_freq_10_chi_squar!F5</f>
        <v>8.966E-3</v>
      </c>
    </row>
    <row r="34" spans="1:19" x14ac:dyDescent="0.15">
      <c r="A34" s="17" t="s">
        <v>54</v>
      </c>
      <c r="B34" s="17">
        <f>[12]PARS_utr_stat_SNPs_freq_10!B5</f>
        <v>221</v>
      </c>
      <c r="C34" s="17">
        <f>[13]PARS_utr_stat_gene_freq_10!B5</f>
        <v>202</v>
      </c>
      <c r="D34" s="17">
        <f>[14]PARS_utr_stat_stem_freq_10!B5</f>
        <v>123</v>
      </c>
      <c r="E34" s="17">
        <f>[15]PARS_utr_stat_loop_freq_10!B5</f>
        <v>98</v>
      </c>
      <c r="F34" s="4">
        <f>[16]PARS_utr_stat_stem_AT_GC_freq_1!B5</f>
        <v>54</v>
      </c>
      <c r="G34" s="17">
        <f>[17]PARS_utr_stat_loop_AT_GC_freq_1!B5</f>
        <v>44</v>
      </c>
      <c r="H34" s="4">
        <f>[18]PARS_utr_stat_stem_GC_AT_freq_1!B5</f>
        <v>50</v>
      </c>
      <c r="I34" s="4">
        <f>[19]PARS_utr_stat_loop_GC_AT_freq_1!B5</f>
        <v>36</v>
      </c>
      <c r="J34" s="4"/>
      <c r="K34" s="60"/>
      <c r="L34" s="17" t="s">
        <v>22</v>
      </c>
      <c r="M34" s="17">
        <f>[20]PARS_utr_stat_freq_10_chi_squar!B5</f>
        <v>133</v>
      </c>
      <c r="N34" s="17">
        <f>[20]PARS_utr_stat_freq_10_chi_squar!C5</f>
        <v>74</v>
      </c>
      <c r="O34" s="18">
        <f>[20]PARS_utr_stat_freq_10_chi_squar!D5</f>
        <v>0.64251207729468596</v>
      </c>
      <c r="P34" s="18">
        <f t="shared" si="25"/>
        <v>0.35748792270531399</v>
      </c>
      <c r="Q34" s="58">
        <f>[20]PARS_utr_stat_freq_10_chi_squar!E6</f>
        <v>0</v>
      </c>
      <c r="R34" s="59">
        <f>[20]PARS_utr_stat_freq_10_chi_squar!F6</f>
        <v>0</v>
      </c>
    </row>
    <row r="35" spans="1:19" x14ac:dyDescent="0.15">
      <c r="A35" s="17" t="s">
        <v>55</v>
      </c>
      <c r="B35" s="17">
        <f>[12]PARS_utr_stat_SNPs_freq_10!B6</f>
        <v>200</v>
      </c>
      <c r="C35" s="17">
        <f>[13]PARS_utr_stat_gene_freq_10!B6</f>
        <v>163</v>
      </c>
      <c r="D35" s="17">
        <f>[14]PARS_utr_stat_stem_freq_10!B6</f>
        <v>113</v>
      </c>
      <c r="E35" s="17">
        <f>[15]PARS_utr_stat_loop_freq_10!B6</f>
        <v>87</v>
      </c>
      <c r="F35" s="4">
        <f>[16]PARS_utr_stat_stem_AT_GC_freq_1!B6</f>
        <v>55</v>
      </c>
      <c r="G35" s="17">
        <f>[17]PARS_utr_stat_loop_AT_GC_freq_1!B6</f>
        <v>50</v>
      </c>
      <c r="H35" s="4">
        <f>[18]PARS_utr_stat_stem_GC_AT_freq_1!B6</f>
        <v>45</v>
      </c>
      <c r="I35" s="4">
        <f>[19]PARS_utr_stat_loop_GC_AT_freq_1!B6</f>
        <v>29</v>
      </c>
      <c r="J35" s="4"/>
      <c r="K35" s="60" t="s">
        <v>10</v>
      </c>
      <c r="L35" s="17" t="s">
        <v>21</v>
      </c>
      <c r="M35" s="17">
        <f>[20]PARS_utr_stat_freq_10_chi_squar!B6</f>
        <v>78</v>
      </c>
      <c r="N35" s="17">
        <f>[20]PARS_utr_stat_freq_10_chi_squar!C6</f>
        <v>69</v>
      </c>
      <c r="O35" s="18">
        <f>[20]PARS_utr_stat_freq_10_chi_squar!D6</f>
        <v>0.530612244897959</v>
      </c>
      <c r="P35" s="18">
        <f t="shared" si="25"/>
        <v>0.46938775510204084</v>
      </c>
      <c r="Q35" s="58">
        <f>[20]PARS_utr_stat_freq_10_chi_squar!E7</f>
        <v>1.5074830096062499</v>
      </c>
      <c r="R35" s="59">
        <f>[20]PARS_utr_stat_freq_10_chi_squar!F7</f>
        <v>0.21951999999999999</v>
      </c>
    </row>
    <row r="36" spans="1:19" x14ac:dyDescent="0.15">
      <c r="A36" s="17" t="s">
        <v>56</v>
      </c>
      <c r="B36" s="17">
        <f>[12]PARS_utr_stat_SNPs_freq_10!B7</f>
        <v>161</v>
      </c>
      <c r="C36" s="17">
        <f>[13]PARS_utr_stat_gene_freq_10!B7</f>
        <v>146</v>
      </c>
      <c r="D36" s="17">
        <f>[14]PARS_utr_stat_stem_freq_10!B7</f>
        <v>73</v>
      </c>
      <c r="E36" s="17">
        <f>[15]PARS_utr_stat_loop_freq_10!B7</f>
        <v>88</v>
      </c>
      <c r="F36" s="4">
        <f>[16]PARS_utr_stat_stem_AT_GC_freq_1!B7</f>
        <v>37</v>
      </c>
      <c r="G36" s="17">
        <f>[17]PARS_utr_stat_loop_AT_GC_freq_1!B7</f>
        <v>38</v>
      </c>
      <c r="H36" s="4">
        <f>[18]PARS_utr_stat_stem_GC_AT_freq_1!B7</f>
        <v>27</v>
      </c>
      <c r="I36" s="4">
        <f>[19]PARS_utr_stat_loop_GC_AT_freq_1!B7</f>
        <v>34</v>
      </c>
      <c r="J36" s="4"/>
      <c r="K36" s="60"/>
      <c r="L36" s="17" t="s">
        <v>22</v>
      </c>
      <c r="M36" s="17">
        <f>[20]PARS_utr_stat_freq_10_chi_squar!B7</f>
        <v>75</v>
      </c>
      <c r="N36" s="17">
        <f>[20]PARS_utr_stat_freq_10_chi_squar!C7</f>
        <v>49</v>
      </c>
      <c r="O36" s="18">
        <f>[20]PARS_utr_stat_freq_10_chi_squar!D7</f>
        <v>0.60483870967741904</v>
      </c>
      <c r="P36" s="18">
        <f t="shared" si="25"/>
        <v>0.39516129032258063</v>
      </c>
      <c r="Q36" s="58">
        <f>[20]PARS_utr_stat_freq_10_chi_squar!E8</f>
        <v>0</v>
      </c>
      <c r="R36" s="59">
        <f>[20]PARS_utr_stat_freq_10_chi_squar!F8</f>
        <v>0</v>
      </c>
    </row>
    <row r="37" spans="1:19" x14ac:dyDescent="0.15">
      <c r="A37" s="17" t="s">
        <v>57</v>
      </c>
      <c r="B37" s="17">
        <f>[12]PARS_utr_stat_SNPs_freq_10!B8</f>
        <v>145</v>
      </c>
      <c r="C37" s="17">
        <f>[13]PARS_utr_stat_gene_freq_10!B8</f>
        <v>130</v>
      </c>
      <c r="D37" s="17">
        <f>[14]PARS_utr_stat_stem_freq_10!B8</f>
        <v>71</v>
      </c>
      <c r="E37" s="17">
        <f>[15]PARS_utr_stat_loop_freq_10!B8</f>
        <v>74</v>
      </c>
      <c r="F37" s="4">
        <f>[16]PARS_utr_stat_stem_AT_GC_freq_1!B8</f>
        <v>35</v>
      </c>
      <c r="G37" s="17">
        <f>[17]PARS_utr_stat_loop_AT_GC_freq_1!B8</f>
        <v>35</v>
      </c>
      <c r="H37" s="4">
        <f>[18]PARS_utr_stat_stem_GC_AT_freq_1!B8</f>
        <v>30</v>
      </c>
      <c r="I37" s="4">
        <f>[19]PARS_utr_stat_loop_GC_AT_freq_1!B8</f>
        <v>29</v>
      </c>
      <c r="J37" s="4"/>
      <c r="K37" s="60" t="s">
        <v>11</v>
      </c>
      <c r="L37" s="17" t="s">
        <v>21</v>
      </c>
      <c r="M37" s="17">
        <f>[20]PARS_utr_stat_freq_10_chi_squar!B8</f>
        <v>54</v>
      </c>
      <c r="N37" s="17">
        <f>[20]PARS_utr_stat_freq_10_chi_squar!C8</f>
        <v>50</v>
      </c>
      <c r="O37" s="18">
        <f>[20]PARS_utr_stat_freq_10_chi_squar!D8</f>
        <v>0.51923076923076905</v>
      </c>
      <c r="P37" s="18">
        <f t="shared" si="25"/>
        <v>0.48076923076923078</v>
      </c>
      <c r="Q37" s="58">
        <f>[20]PARS_utr_stat_freq_10_chi_squar!E9</f>
        <v>0.17196889489248299</v>
      </c>
      <c r="R37" s="59">
        <f>[20]PARS_utr_stat_freq_10_chi_squar!F9</f>
        <v>0.67837000000000003</v>
      </c>
    </row>
    <row r="38" spans="1:19" x14ac:dyDescent="0.15">
      <c r="A38" s="17" t="s">
        <v>58</v>
      </c>
      <c r="B38" s="17">
        <f>[12]PARS_utr_stat_SNPs_freq_10!B9</f>
        <v>166</v>
      </c>
      <c r="C38" s="17">
        <f>[13]PARS_utr_stat_gene_freq_10!B9</f>
        <v>147</v>
      </c>
      <c r="D38" s="17">
        <f>[14]PARS_utr_stat_stem_freq_10!B9</f>
        <v>93</v>
      </c>
      <c r="E38" s="17">
        <f>[15]PARS_utr_stat_loop_freq_10!B9</f>
        <v>73</v>
      </c>
      <c r="F38" s="4">
        <f>[16]PARS_utr_stat_stem_AT_GC_freq_1!B9</f>
        <v>54</v>
      </c>
      <c r="G38" s="17">
        <f>[17]PARS_utr_stat_loop_AT_GC_freq_1!B9</f>
        <v>32</v>
      </c>
      <c r="H38" s="4">
        <f>[18]PARS_utr_stat_stem_GC_AT_freq_1!B9</f>
        <v>31</v>
      </c>
      <c r="I38" s="4">
        <f>[19]PARS_utr_stat_loop_GC_AT_freq_1!B9</f>
        <v>29</v>
      </c>
      <c r="J38" s="4"/>
      <c r="K38" s="60"/>
      <c r="L38" s="17" t="s">
        <v>22</v>
      </c>
      <c r="M38" s="17">
        <f>[20]PARS_utr_stat_freq_10_chi_squar!B9</f>
        <v>44</v>
      </c>
      <c r="N38" s="17">
        <f>[20]PARS_utr_stat_freq_10_chi_squar!C9</f>
        <v>36</v>
      </c>
      <c r="O38" s="18">
        <f>[20]PARS_utr_stat_freq_10_chi_squar!D9</f>
        <v>0.55000000000000004</v>
      </c>
      <c r="P38" s="18">
        <f t="shared" si="25"/>
        <v>0.45</v>
      </c>
      <c r="Q38" s="58">
        <f>[20]PARS_utr_stat_freq_10_chi_squar!E10</f>
        <v>0</v>
      </c>
      <c r="R38" s="59">
        <f>[20]PARS_utr_stat_freq_10_chi_squar!F10</f>
        <v>0</v>
      </c>
    </row>
    <row r="39" spans="1:19" x14ac:dyDescent="0.15">
      <c r="A39" s="17" t="s">
        <v>59</v>
      </c>
      <c r="B39" s="17">
        <f>[12]PARS_utr_stat_SNPs_freq_10!B10</f>
        <v>178</v>
      </c>
      <c r="C39" s="17">
        <f>[13]PARS_utr_stat_gene_freq_10!B10</f>
        <v>160</v>
      </c>
      <c r="D39" s="17">
        <f>[14]PARS_utr_stat_stem_freq_10!B10</f>
        <v>103</v>
      </c>
      <c r="E39" s="17">
        <f>[15]PARS_utr_stat_loop_freq_10!B10</f>
        <v>75</v>
      </c>
      <c r="F39" s="4">
        <f>[16]PARS_utr_stat_stem_AT_GC_freq_1!B10</f>
        <v>61</v>
      </c>
      <c r="G39" s="17">
        <f>[17]PARS_utr_stat_loop_AT_GC_freq_1!B10</f>
        <v>41</v>
      </c>
      <c r="H39" s="4">
        <f>[18]PARS_utr_stat_stem_GC_AT_freq_1!B10</f>
        <v>32</v>
      </c>
      <c r="I39" s="4">
        <f>[19]PARS_utr_stat_loop_GC_AT_freq_1!B10</f>
        <v>23</v>
      </c>
      <c r="J39" s="4"/>
      <c r="K39" s="60" t="s">
        <v>12</v>
      </c>
      <c r="L39" s="17" t="s">
        <v>21</v>
      </c>
      <c r="M39" s="17">
        <f>[20]PARS_utr_stat_freq_10_chi_squar!B10</f>
        <v>55</v>
      </c>
      <c r="N39" s="17">
        <f>[20]PARS_utr_stat_freq_10_chi_squar!C10</f>
        <v>45</v>
      </c>
      <c r="O39" s="18">
        <f>[20]PARS_utr_stat_freq_10_chi_squar!D10</f>
        <v>0.55000000000000004</v>
      </c>
      <c r="P39" s="18">
        <f t="shared" si="25"/>
        <v>0.45</v>
      </c>
      <c r="Q39" s="58">
        <f>[20]PARS_utr_stat_freq_10_chi_squar!E11</f>
        <v>1.25108702735285</v>
      </c>
      <c r="R39" s="59">
        <f>[20]PARS_utr_stat_freq_10_chi_squar!F11</f>
        <v>0.26334000000000002</v>
      </c>
    </row>
    <row r="40" spans="1:19" x14ac:dyDescent="0.15">
      <c r="A40" s="17" t="s">
        <v>60</v>
      </c>
      <c r="B40" s="17">
        <f>[12]PARS_utr_stat_SNPs_freq_10!B11</f>
        <v>526</v>
      </c>
      <c r="C40" s="17">
        <f>[13]PARS_utr_stat_gene_freq_10!B11</f>
        <v>421</v>
      </c>
      <c r="D40" s="17">
        <f>[14]PARS_utr_stat_stem_freq_10!B11</f>
        <v>311</v>
      </c>
      <c r="E40" s="17">
        <f>[15]PARS_utr_stat_loop_freq_10!B11</f>
        <v>215</v>
      </c>
      <c r="F40" s="4">
        <f>[16]PARS_utr_stat_stem_AT_GC_freq_1!B11</f>
        <v>167</v>
      </c>
      <c r="G40" s="17">
        <f>[17]PARS_utr_stat_loop_AT_GC_freq_1!B11</f>
        <v>115</v>
      </c>
      <c r="H40" s="4">
        <f>[18]PARS_utr_stat_stem_GC_AT_freq_1!B11</f>
        <v>118</v>
      </c>
      <c r="I40" s="4">
        <f>[19]PARS_utr_stat_loop_GC_AT_freq_1!B11</f>
        <v>77</v>
      </c>
      <c r="J40" s="4"/>
      <c r="K40" s="60"/>
      <c r="L40" s="17" t="s">
        <v>22</v>
      </c>
      <c r="M40" s="17">
        <f>[20]PARS_utr_stat_freq_10_chi_squar!B11</f>
        <v>50</v>
      </c>
      <c r="N40" s="17">
        <f>[20]PARS_utr_stat_freq_10_chi_squar!C11</f>
        <v>29</v>
      </c>
      <c r="O40" s="18">
        <f>[20]PARS_utr_stat_freq_10_chi_squar!D11</f>
        <v>0.632911392405063</v>
      </c>
      <c r="P40" s="18">
        <f t="shared" si="25"/>
        <v>0.36708860759493672</v>
      </c>
      <c r="Q40" s="58">
        <f>[20]PARS_utr_stat_freq_10_chi_squar!E12</f>
        <v>0</v>
      </c>
      <c r="R40" s="59">
        <f>[20]PARS_utr_stat_freq_10_chi_squar!F12</f>
        <v>0</v>
      </c>
    </row>
    <row r="41" spans="1:19" x14ac:dyDescent="0.15">
      <c r="A41" s="17" t="s">
        <v>61</v>
      </c>
      <c r="B41" s="51">
        <f t="shared" ref="B41:C41" si="26">SUM(B31:B40)</f>
        <v>5819</v>
      </c>
      <c r="C41" s="51">
        <f t="shared" si="26"/>
        <v>3454</v>
      </c>
      <c r="D41" s="17">
        <f>SUM(D31:D40)</f>
        <v>3221</v>
      </c>
      <c r="E41" s="17">
        <f t="shared" ref="E41:I41" si="27">SUM(E31:E40)</f>
        <v>2598</v>
      </c>
      <c r="F41" s="17">
        <f>SUM(F31:F40)</f>
        <v>1496</v>
      </c>
      <c r="G41" s="17">
        <f t="shared" si="27"/>
        <v>1354</v>
      </c>
      <c r="H41" s="17">
        <f t="shared" si="27"/>
        <v>1286</v>
      </c>
      <c r="I41" s="17">
        <f t="shared" si="27"/>
        <v>826</v>
      </c>
      <c r="J41" s="17"/>
      <c r="K41" s="60" t="s">
        <v>13</v>
      </c>
      <c r="L41" s="17" t="s">
        <v>21</v>
      </c>
      <c r="M41" s="17">
        <f>[20]PARS_utr_stat_freq_10_chi_squar!B12</f>
        <v>37</v>
      </c>
      <c r="N41" s="17">
        <f>[20]PARS_utr_stat_freq_10_chi_squar!C12</f>
        <v>27</v>
      </c>
      <c r="O41" s="18">
        <f>[20]PARS_utr_stat_freq_10_chi_squar!D12</f>
        <v>0.578125</v>
      </c>
      <c r="P41" s="18">
        <f t="shared" si="25"/>
        <v>0.421875</v>
      </c>
      <c r="Q41" s="58">
        <f>[20]PARS_utr_stat_freq_10_chi_squar!E13</f>
        <v>0.34722525804492999</v>
      </c>
      <c r="R41" s="59">
        <f>[20]PARS_utr_stat_freq_10_chi_squar!F13</f>
        <v>0.55569000000000002</v>
      </c>
    </row>
    <row r="42" spans="1:19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60"/>
      <c r="L42" s="17" t="s">
        <v>22</v>
      </c>
      <c r="M42" s="17">
        <f>[20]PARS_utr_stat_freq_10_chi_squar!B13</f>
        <v>38</v>
      </c>
      <c r="N42" s="17">
        <f>[20]PARS_utr_stat_freq_10_chi_squar!C13</f>
        <v>34</v>
      </c>
      <c r="O42" s="18">
        <f>[20]PARS_utr_stat_freq_10_chi_squar!D13</f>
        <v>0.52777777777777801</v>
      </c>
      <c r="P42" s="18">
        <f t="shared" si="25"/>
        <v>0.47222222222222221</v>
      </c>
      <c r="Q42" s="58">
        <f>[20]PARS_utr_stat_freq_10_chi_squar!E14</f>
        <v>0</v>
      </c>
      <c r="R42" s="59">
        <f>[20]PARS_utr_stat_freq_10_chi_squar!F14</f>
        <v>0</v>
      </c>
      <c r="S42" s="7"/>
    </row>
    <row r="43" spans="1:19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60" t="s">
        <v>14</v>
      </c>
      <c r="L43" s="17" t="s">
        <v>21</v>
      </c>
      <c r="M43" s="17">
        <f>[20]PARS_utr_stat_freq_10_chi_squar!B14</f>
        <v>35</v>
      </c>
      <c r="N43" s="17">
        <f>[20]PARS_utr_stat_freq_10_chi_squar!C14</f>
        <v>30</v>
      </c>
      <c r="O43" s="18">
        <f>[20]PARS_utr_stat_freq_10_chi_squar!D14</f>
        <v>0.53846153846153799</v>
      </c>
      <c r="P43" s="18">
        <f t="shared" si="25"/>
        <v>0.46153846153846156</v>
      </c>
      <c r="Q43" s="58">
        <f>[20]PARS_utr_stat_freq_10_chi_squar!E15</f>
        <v>9.1977672750977995E-3</v>
      </c>
      <c r="R43" s="59">
        <f>[20]PARS_utr_stat_freq_10_chi_squar!F15</f>
        <v>0.92359999999999998</v>
      </c>
      <c r="S43" s="7"/>
    </row>
    <row r="44" spans="1:19" x14ac:dyDescent="0.15">
      <c r="A44" s="17" t="s">
        <v>62</v>
      </c>
      <c r="B44" s="17"/>
      <c r="C44" s="17"/>
      <c r="D44" s="17" t="s">
        <v>18</v>
      </c>
      <c r="E44" s="17" t="s">
        <v>35</v>
      </c>
      <c r="F44" s="17" t="s">
        <v>24</v>
      </c>
      <c r="G44" s="17" t="s">
        <v>25</v>
      </c>
      <c r="H44" s="17" t="s">
        <v>31</v>
      </c>
      <c r="I44" s="17" t="s">
        <v>32</v>
      </c>
      <c r="J44" s="17"/>
      <c r="K44" s="60"/>
      <c r="L44" s="17" t="s">
        <v>22</v>
      </c>
      <c r="M44" s="17">
        <f>[20]PARS_utr_stat_freq_10_chi_squar!B15</f>
        <v>35</v>
      </c>
      <c r="N44" s="17">
        <f>[20]PARS_utr_stat_freq_10_chi_squar!C15</f>
        <v>29</v>
      </c>
      <c r="O44" s="18">
        <f>[20]PARS_utr_stat_freq_10_chi_squar!D15</f>
        <v>0.546875</v>
      </c>
      <c r="P44" s="18">
        <f t="shared" si="25"/>
        <v>0.453125</v>
      </c>
      <c r="Q44" s="58">
        <f>[20]PARS_utr_stat_freq_10_chi_squar!E16</f>
        <v>0</v>
      </c>
      <c r="R44" s="59">
        <f>[20]PARS_utr_stat_freq_10_chi_squar!F16</f>
        <v>0</v>
      </c>
      <c r="S44" s="7"/>
    </row>
    <row r="45" spans="1:19" x14ac:dyDescent="0.15">
      <c r="A45" s="17" t="s">
        <v>52</v>
      </c>
      <c r="B45" s="51">
        <f t="shared" ref="B45:C45" si="28">B31/B$41</f>
        <v>0.57913730881594772</v>
      </c>
      <c r="C45" s="51">
        <f t="shared" si="28"/>
        <v>0.40503763752171396</v>
      </c>
      <c r="D45" s="25">
        <f t="shared" ref="D45:H45" si="29">D31/D$41</f>
        <v>0.58149642968022353</v>
      </c>
      <c r="E45" s="25">
        <f t="shared" si="29"/>
        <v>0.57621247113163976</v>
      </c>
      <c r="F45" s="25">
        <f t="shared" si="29"/>
        <v>0.553475935828877</v>
      </c>
      <c r="G45" s="25">
        <f t="shared" si="29"/>
        <v>0.58419497784342689</v>
      </c>
      <c r="H45" s="25">
        <f t="shared" si="29"/>
        <v>0.59642301710730949</v>
      </c>
      <c r="I45" s="21">
        <f t="shared" ref="I45" si="30">I31/I$41</f>
        <v>0.53995157384987891</v>
      </c>
      <c r="J45" s="17"/>
      <c r="K45" s="60" t="s">
        <v>15</v>
      </c>
      <c r="L45" s="17" t="s">
        <v>21</v>
      </c>
      <c r="M45" s="17">
        <f>[20]PARS_utr_stat_freq_10_chi_squar!B16</f>
        <v>54</v>
      </c>
      <c r="N45" s="17">
        <f>[20]PARS_utr_stat_freq_10_chi_squar!C16</f>
        <v>31</v>
      </c>
      <c r="O45" s="18">
        <f>[20]PARS_utr_stat_freq_10_chi_squar!D16</f>
        <v>0.63529411764705901</v>
      </c>
      <c r="P45" s="18">
        <f t="shared" si="25"/>
        <v>0.36470588235294116</v>
      </c>
      <c r="Q45" s="58">
        <f>[20]PARS_utr_stat_freq_10_chi_squar!E17</f>
        <v>1.79795235211889</v>
      </c>
      <c r="R45" s="59">
        <f>[20]PARS_utr_stat_freq_10_chi_squar!F17</f>
        <v>0.17996000000000001</v>
      </c>
      <c r="S45" s="7"/>
    </row>
    <row r="46" spans="1:19" x14ac:dyDescent="0.15">
      <c r="A46" s="17" t="s">
        <v>38</v>
      </c>
      <c r="B46" s="51">
        <f t="shared" ref="B46:C46" si="31">B32/B$41</f>
        <v>9.1424643409520542E-2</v>
      </c>
      <c r="C46" s="51">
        <f t="shared" si="31"/>
        <v>0.12130862767805443</v>
      </c>
      <c r="D46" s="25">
        <f t="shared" ref="D46:H46" si="32">D32/D$41</f>
        <v>9.0034150884818379E-2</v>
      </c>
      <c r="E46" s="25">
        <f t="shared" si="32"/>
        <v>9.3148575827559657E-2</v>
      </c>
      <c r="F46" s="25">
        <f t="shared" si="32"/>
        <v>8.4893048128342252E-2</v>
      </c>
      <c r="G46" s="25">
        <f t="shared" si="32"/>
        <v>9.8227474150664698E-2</v>
      </c>
      <c r="H46" s="25">
        <f t="shared" si="32"/>
        <v>9.0979782270606532E-2</v>
      </c>
      <c r="I46" s="21">
        <f t="shared" ref="I46" si="33">I32/I$41</f>
        <v>8.9588377723970949E-2</v>
      </c>
      <c r="J46" s="17"/>
      <c r="K46" s="60"/>
      <c r="L46" s="17" t="s">
        <v>22</v>
      </c>
      <c r="M46" s="17">
        <f>[20]PARS_utr_stat_freq_10_chi_squar!B17</f>
        <v>32</v>
      </c>
      <c r="N46" s="17">
        <f>[20]PARS_utr_stat_freq_10_chi_squar!C17</f>
        <v>29</v>
      </c>
      <c r="O46" s="18">
        <f>[20]PARS_utr_stat_freq_10_chi_squar!D17</f>
        <v>0.52459016393442603</v>
      </c>
      <c r="P46" s="18">
        <f t="shared" si="25"/>
        <v>0.47540983606557374</v>
      </c>
      <c r="Q46" s="58">
        <f>[20]PARS_utr_stat_freq_10_chi_squar!E18</f>
        <v>0</v>
      </c>
      <c r="R46" s="59">
        <f>[20]PARS_utr_stat_freq_10_chi_squar!F18</f>
        <v>0</v>
      </c>
      <c r="S46" s="7"/>
    </row>
    <row r="47" spans="1:19" x14ac:dyDescent="0.15">
      <c r="A47" s="17" t="s">
        <v>53</v>
      </c>
      <c r="B47" s="51">
        <f t="shared" ref="B47:C47" si="34">B33/B$41</f>
        <v>5.4992266712493555E-2</v>
      </c>
      <c r="C47" s="51">
        <f t="shared" si="34"/>
        <v>7.7301679212507232E-2</v>
      </c>
      <c r="D47" s="25">
        <f t="shared" ref="D47:H47" si="35">D33/D$41</f>
        <v>5.3089102763117048E-2</v>
      </c>
      <c r="E47" s="25">
        <f t="shared" si="35"/>
        <v>5.7351809083910701E-2</v>
      </c>
      <c r="F47" s="25">
        <f t="shared" si="35"/>
        <v>5.213903743315508E-2</v>
      </c>
      <c r="G47" s="25">
        <f t="shared" si="35"/>
        <v>5.5391432791728215E-2</v>
      </c>
      <c r="H47" s="25">
        <f t="shared" si="35"/>
        <v>5.3654743390357695E-2</v>
      </c>
      <c r="I47" s="21">
        <f t="shared" ref="I47" si="36">I33/I$41</f>
        <v>5.9322033898305086E-2</v>
      </c>
      <c r="J47" s="17"/>
      <c r="K47" s="60" t="s">
        <v>16</v>
      </c>
      <c r="L47" s="17" t="s">
        <v>21</v>
      </c>
      <c r="M47" s="17">
        <f>[20]PARS_utr_stat_freq_10_chi_squar!B18</f>
        <v>61</v>
      </c>
      <c r="N47" s="17">
        <f>[20]PARS_utr_stat_freq_10_chi_squar!C18</f>
        <v>32</v>
      </c>
      <c r="O47" s="18">
        <f>[20]PARS_utr_stat_freq_10_chi_squar!D18</f>
        <v>0.65591397849462396</v>
      </c>
      <c r="P47" s="18">
        <f t="shared" si="25"/>
        <v>0.34408602150537637</v>
      </c>
      <c r="Q47" s="58">
        <f>[20]PARS_utr_stat_freq_10_chi_squar!E19</f>
        <v>3.89364769612634E-2</v>
      </c>
      <c r="R47" s="59">
        <f>[20]PARS_utr_stat_freq_10_chi_squar!F19</f>
        <v>0.84357000000000004</v>
      </c>
      <c r="S47" s="7"/>
    </row>
    <row r="48" spans="1:19" x14ac:dyDescent="0.15">
      <c r="A48" s="17" t="s">
        <v>54</v>
      </c>
      <c r="B48" s="51">
        <f t="shared" ref="B48:C48" si="37">B34/B$41</f>
        <v>3.7979034198315859E-2</v>
      </c>
      <c r="C48" s="51">
        <f t="shared" si="37"/>
        <v>5.8482918355529823E-2</v>
      </c>
      <c r="D48" s="25">
        <f t="shared" ref="D48:H48" si="38">D34/D$41</f>
        <v>3.8186898478733314E-2</v>
      </c>
      <c r="E48" s="25">
        <f t="shared" si="38"/>
        <v>3.7721324095458045E-2</v>
      </c>
      <c r="F48" s="25">
        <f t="shared" si="38"/>
        <v>3.6096256684491977E-2</v>
      </c>
      <c r="G48" s="25">
        <f t="shared" si="38"/>
        <v>3.2496307237813882E-2</v>
      </c>
      <c r="H48" s="25">
        <f t="shared" si="38"/>
        <v>3.8880248833592534E-2</v>
      </c>
      <c r="I48" s="21">
        <f t="shared" ref="I48" si="39">I34/I$41</f>
        <v>4.3583535108958835E-2</v>
      </c>
      <c r="J48" s="17"/>
      <c r="K48" s="60"/>
      <c r="L48" s="17" t="s">
        <v>22</v>
      </c>
      <c r="M48" s="17">
        <f>[20]PARS_utr_stat_freq_10_chi_squar!B19</f>
        <v>41</v>
      </c>
      <c r="N48" s="17">
        <f>[20]PARS_utr_stat_freq_10_chi_squar!C19</f>
        <v>23</v>
      </c>
      <c r="O48" s="18">
        <f>[20]PARS_utr_stat_freq_10_chi_squar!D19</f>
        <v>0.640625</v>
      </c>
      <c r="P48" s="18">
        <f t="shared" si="25"/>
        <v>0.359375</v>
      </c>
      <c r="Q48" s="58">
        <f>[20]PARS_utr_stat_freq_10_chi_squar!E20</f>
        <v>0</v>
      </c>
      <c r="R48" s="59">
        <f>[20]PARS_utr_stat_freq_10_chi_squar!F20</f>
        <v>0</v>
      </c>
    </row>
    <row r="49" spans="1:18" x14ac:dyDescent="0.15">
      <c r="A49" s="17" t="s">
        <v>55</v>
      </c>
      <c r="B49" s="51">
        <f t="shared" ref="B49:C49" si="40">B35/B$41</f>
        <v>3.4370166695308471E-2</v>
      </c>
      <c r="C49" s="51">
        <f t="shared" si="40"/>
        <v>4.7191661841343373E-2</v>
      </c>
      <c r="D49" s="25">
        <f t="shared" ref="D49:H49" si="41">D35/D$41</f>
        <v>3.5082272586153367E-2</v>
      </c>
      <c r="E49" s="25">
        <f t="shared" si="41"/>
        <v>3.348729792147806E-2</v>
      </c>
      <c r="F49" s="25">
        <f t="shared" si="41"/>
        <v>3.6764705882352942E-2</v>
      </c>
      <c r="G49" s="25">
        <f t="shared" si="41"/>
        <v>3.6927621861152143E-2</v>
      </c>
      <c r="H49" s="25">
        <f t="shared" si="41"/>
        <v>3.4992223950233284E-2</v>
      </c>
      <c r="I49" s="21">
        <f t="shared" ref="I49" si="42">I35/I$41</f>
        <v>3.5108958837772396E-2</v>
      </c>
      <c r="J49" s="17"/>
      <c r="K49" s="60" t="s">
        <v>17</v>
      </c>
      <c r="L49" s="17" t="s">
        <v>21</v>
      </c>
      <c r="M49" s="17">
        <f>[20]PARS_utr_stat_freq_10_chi_squar!B20</f>
        <v>167</v>
      </c>
      <c r="N49" s="17">
        <f>[20]PARS_utr_stat_freq_10_chi_squar!C20</f>
        <v>118</v>
      </c>
      <c r="O49" s="18">
        <f>[20]PARS_utr_stat_freq_10_chi_squar!D20</f>
        <v>0.58596491228070202</v>
      </c>
      <c r="P49" s="18">
        <f t="shared" si="25"/>
        <v>0.41403508771929826</v>
      </c>
      <c r="Q49" s="58">
        <f>[20]PARS_utr_stat_freq_10_chi_squar!E21</f>
        <v>8.0136020544404898E-2</v>
      </c>
      <c r="R49" s="59">
        <f>[20]PARS_utr_stat_freq_10_chi_squar!F21</f>
        <v>0.77710999999999997</v>
      </c>
    </row>
    <row r="50" spans="1:18" x14ac:dyDescent="0.15">
      <c r="A50" s="17" t="s">
        <v>56</v>
      </c>
      <c r="B50" s="51">
        <f t="shared" ref="B50:C50" si="43">B36/B$41</f>
        <v>2.766798418972332E-2</v>
      </c>
      <c r="C50" s="51">
        <f t="shared" si="43"/>
        <v>4.2269832078749278E-2</v>
      </c>
      <c r="D50" s="25">
        <f t="shared" ref="D50:H50" si="44">D36/D$41</f>
        <v>2.2663769015833592E-2</v>
      </c>
      <c r="E50" s="25">
        <f t="shared" si="44"/>
        <v>3.3872209391839873E-2</v>
      </c>
      <c r="F50" s="25">
        <f t="shared" si="44"/>
        <v>2.4732620320855617E-2</v>
      </c>
      <c r="G50" s="25">
        <f t="shared" si="44"/>
        <v>2.8064992614475627E-2</v>
      </c>
      <c r="H50" s="25">
        <f t="shared" si="44"/>
        <v>2.0995334370139968E-2</v>
      </c>
      <c r="I50" s="21">
        <f t="shared" ref="I50" si="45">I36/I$41</f>
        <v>4.1162227602905568E-2</v>
      </c>
      <c r="J50" s="17"/>
      <c r="K50" s="60"/>
      <c r="L50" s="17" t="s">
        <v>22</v>
      </c>
      <c r="M50" s="17">
        <f>[20]PARS_utr_stat_freq_10_chi_squar!B21</f>
        <v>115</v>
      </c>
      <c r="N50" s="17">
        <f>[20]PARS_utr_stat_freq_10_chi_squar!C21</f>
        <v>77</v>
      </c>
      <c r="O50" s="18">
        <f>[20]PARS_utr_stat_freq_10_chi_squar!D21</f>
        <v>0.59895833333333304</v>
      </c>
      <c r="P50" s="18">
        <f t="shared" si="25"/>
        <v>0.40104166666666669</v>
      </c>
      <c r="Q50" s="58">
        <f>[20]PARS_utr_stat_freq_10_chi_squar!E22</f>
        <v>0</v>
      </c>
      <c r="R50" s="59">
        <f>[20]PARS_utr_stat_freq_10_chi_squar!F22</f>
        <v>0</v>
      </c>
    </row>
    <row r="51" spans="1:18" x14ac:dyDescent="0.15">
      <c r="A51" s="17" t="s">
        <v>57</v>
      </c>
      <c r="B51" s="51">
        <f t="shared" ref="B51:C51" si="46">B37/B$41</f>
        <v>2.4918370854098641E-2</v>
      </c>
      <c r="C51" s="51">
        <f t="shared" si="46"/>
        <v>3.7637521713954833E-2</v>
      </c>
      <c r="D51" s="25">
        <f t="shared" ref="D51:H51" si="47">D37/D$41</f>
        <v>2.2042843837317604E-2</v>
      </c>
      <c r="E51" s="25">
        <f t="shared" si="47"/>
        <v>2.848344880677444E-2</v>
      </c>
      <c r="F51" s="25">
        <f t="shared" si="47"/>
        <v>2.339572192513369E-2</v>
      </c>
      <c r="G51" s="25">
        <f t="shared" si="47"/>
        <v>2.58493353028065E-2</v>
      </c>
      <c r="H51" s="25">
        <f t="shared" si="47"/>
        <v>2.3328149300155521E-2</v>
      </c>
      <c r="I51" s="21">
        <f t="shared" ref="I51" si="48">I37/I$41</f>
        <v>3.5108958837772396E-2</v>
      </c>
      <c r="J51" s="17"/>
      <c r="K51" s="17"/>
      <c r="L51" s="17"/>
      <c r="M51" s="17"/>
      <c r="N51" s="17"/>
      <c r="O51" s="18"/>
      <c r="P51" s="18"/>
    </row>
    <row r="52" spans="1:18" x14ac:dyDescent="0.15">
      <c r="A52" s="17" t="s">
        <v>58</v>
      </c>
      <c r="B52" s="51">
        <f t="shared" ref="B52:C52" si="49">B38/B$41</f>
        <v>2.8527238357106032E-2</v>
      </c>
      <c r="C52" s="51">
        <f t="shared" si="49"/>
        <v>4.2559351476548928E-2</v>
      </c>
      <c r="D52" s="25">
        <f t="shared" ref="D52:H52" si="50">D38/D$41</f>
        <v>2.8873020800993479E-2</v>
      </c>
      <c r="E52" s="25">
        <f t="shared" si="50"/>
        <v>2.8098537336412627E-2</v>
      </c>
      <c r="F52" s="25">
        <f t="shared" si="50"/>
        <v>3.6096256684491977E-2</v>
      </c>
      <c r="G52" s="25">
        <f t="shared" si="50"/>
        <v>2.3633677991137372E-2</v>
      </c>
      <c r="H52" s="25">
        <f t="shared" si="50"/>
        <v>2.410575427682737E-2</v>
      </c>
      <c r="I52" s="21">
        <f t="shared" ref="I52" si="51">I38/I$41</f>
        <v>3.5108958837772396E-2</v>
      </c>
      <c r="J52" s="17"/>
      <c r="K52" s="17"/>
      <c r="L52" s="17"/>
      <c r="M52" s="17"/>
      <c r="N52" s="17"/>
      <c r="O52" s="18"/>
      <c r="P52" s="18"/>
    </row>
    <row r="53" spans="1:18" x14ac:dyDescent="0.15">
      <c r="A53" s="17" t="s">
        <v>59</v>
      </c>
      <c r="B53" s="51">
        <f t="shared" ref="B53:C53" si="52">B39/B$41</f>
        <v>3.0589448358824541E-2</v>
      </c>
      <c r="C53" s="51">
        <f t="shared" si="52"/>
        <v>4.6323103647944411E-2</v>
      </c>
      <c r="D53" s="25">
        <f t="shared" ref="D53:H53" si="53">D39/D$41</f>
        <v>3.1977646693573426E-2</v>
      </c>
      <c r="E53" s="25">
        <f t="shared" si="53"/>
        <v>2.8868360277136258E-2</v>
      </c>
      <c r="F53" s="25">
        <f t="shared" si="53"/>
        <v>4.077540106951872E-2</v>
      </c>
      <c r="G53" s="25">
        <f t="shared" si="53"/>
        <v>3.0280649926144758E-2</v>
      </c>
      <c r="H53" s="25">
        <f t="shared" si="53"/>
        <v>2.4883359253499222E-2</v>
      </c>
      <c r="I53" s="21">
        <f t="shared" ref="I53" si="54">I39/I$41</f>
        <v>2.784503631961259E-2</v>
      </c>
      <c r="J53" s="17"/>
      <c r="K53" s="17"/>
      <c r="L53" s="17"/>
      <c r="M53" s="17"/>
      <c r="N53" s="17"/>
      <c r="O53" s="18"/>
      <c r="P53" s="18"/>
    </row>
    <row r="54" spans="1:18" x14ac:dyDescent="0.15">
      <c r="A54" s="17" t="s">
        <v>60</v>
      </c>
      <c r="B54" s="51">
        <f t="shared" ref="B54:C54" si="55">B40/B$41</f>
        <v>9.0393538408661281E-2</v>
      </c>
      <c r="C54" s="51">
        <f t="shared" si="55"/>
        <v>0.12188766647365373</v>
      </c>
      <c r="D54" s="25">
        <f t="shared" ref="D54:H54" si="56">D40/D$41</f>
        <v>9.655386525923626E-2</v>
      </c>
      <c r="E54" s="25">
        <f t="shared" si="56"/>
        <v>8.2755966127790612E-2</v>
      </c>
      <c r="F54" s="25">
        <f t="shared" si="56"/>
        <v>0.11163101604278075</v>
      </c>
      <c r="G54" s="25">
        <f t="shared" si="56"/>
        <v>8.4933530280649927E-2</v>
      </c>
      <c r="H54" s="25">
        <f t="shared" si="56"/>
        <v>9.1757387247278388E-2</v>
      </c>
      <c r="I54" s="21">
        <f t="shared" ref="I54" si="57">I40/I$41</f>
        <v>9.3220338983050849E-2</v>
      </c>
      <c r="J54" s="17"/>
      <c r="K54" s="17"/>
      <c r="L54" s="17"/>
      <c r="M54" s="17"/>
      <c r="N54" s="17"/>
      <c r="O54" s="18"/>
      <c r="P54" s="18"/>
    </row>
    <row r="57" spans="1:18" x14ac:dyDescent="0.15">
      <c r="A57" s="23" t="s">
        <v>64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8"/>
      <c r="P57" s="18"/>
    </row>
    <row r="58" spans="1:18" x14ac:dyDescent="0.15">
      <c r="A58" s="17" t="s">
        <v>62</v>
      </c>
      <c r="B58" s="17" t="s">
        <v>5</v>
      </c>
      <c r="C58" s="17" t="s">
        <v>6</v>
      </c>
      <c r="D58" s="17" t="s">
        <v>18</v>
      </c>
      <c r="E58" s="17" t="s">
        <v>29</v>
      </c>
      <c r="F58" s="17" t="s">
        <v>24</v>
      </c>
      <c r="G58" s="17" t="s">
        <v>25</v>
      </c>
      <c r="H58" s="17" t="s">
        <v>31</v>
      </c>
      <c r="I58" s="17" t="s">
        <v>32</v>
      </c>
      <c r="J58" s="17"/>
      <c r="K58" s="17" t="s">
        <v>23</v>
      </c>
      <c r="L58" s="17" t="s">
        <v>19</v>
      </c>
      <c r="M58" s="17" t="s">
        <v>27</v>
      </c>
      <c r="N58" s="17" t="s">
        <v>26</v>
      </c>
      <c r="O58" s="18" t="s">
        <v>28</v>
      </c>
      <c r="P58" s="17" t="s">
        <v>37</v>
      </c>
      <c r="Q58" s="19" t="s">
        <v>34</v>
      </c>
      <c r="R58" s="20" t="s">
        <v>20</v>
      </c>
    </row>
    <row r="59" spans="1:18" x14ac:dyDescent="0.15">
      <c r="A59" s="17" t="s">
        <v>52</v>
      </c>
      <c r="B59" s="17">
        <f>[21]PARS_syn_stat_SNPs_freq_10!B2</f>
        <v>8940</v>
      </c>
      <c r="C59" s="17">
        <f>[22]PARS_syn_stat_gene_freq_10!B2</f>
        <v>1805</v>
      </c>
      <c r="D59" s="17">
        <f>[23]PARS_syn_stat_stem_freq_10!B2</f>
        <v>5324</v>
      </c>
      <c r="E59" s="17">
        <f>[24]PARS_syn_stat_loop_freq_10!B2</f>
        <v>3616</v>
      </c>
      <c r="F59" s="4">
        <f>[25]PARS_syn_stat_stem_AT_GC_freq_1!B2</f>
        <v>2269</v>
      </c>
      <c r="G59" s="17">
        <f>[26]PARS_syn_stat_loop_AT_GC_freq_1!B2</f>
        <v>1846</v>
      </c>
      <c r="H59" s="4">
        <f>[27]PARS_syn_stat_stem_GC_AT_freq_1!B2</f>
        <v>2664</v>
      </c>
      <c r="I59" s="4">
        <f>[28]PARS_syn_stat_loop_GC_AT_freq_1!B2</f>
        <v>1523</v>
      </c>
      <c r="J59" s="4"/>
      <c r="K59" s="60" t="s">
        <v>8</v>
      </c>
      <c r="L59" s="17" t="s">
        <v>21</v>
      </c>
      <c r="M59" s="17">
        <f>[29]PARS_syn_stat_freq_10_chi_squar!B2</f>
        <v>2269</v>
      </c>
      <c r="N59" s="17">
        <f>[29]PARS_syn_stat_freq_10_chi_squar!C2</f>
        <v>2664</v>
      </c>
      <c r="O59" s="18">
        <f>[29]PARS_syn_stat_freq_10_chi_squar!D2</f>
        <v>0.459963511048044</v>
      </c>
      <c r="P59" s="18">
        <f>N59/(M59+N59)</f>
        <v>0.54003648895195622</v>
      </c>
      <c r="Q59" s="58">
        <f>[29]PARS_syn_stat_freq_10_chi_squar!E3</f>
        <v>61.976409287923701</v>
      </c>
      <c r="R59" s="59">
        <f>[29]PARS_syn_stat_freq_10_chi_squar!F3</f>
        <v>3.4760000000000001E-15</v>
      </c>
    </row>
    <row r="60" spans="1:18" x14ac:dyDescent="0.15">
      <c r="A60" s="17" t="s">
        <v>38</v>
      </c>
      <c r="B60" s="17">
        <f>[21]PARS_syn_stat_SNPs_freq_10!B3</f>
        <v>1892</v>
      </c>
      <c r="C60" s="17">
        <f>[22]PARS_syn_stat_gene_freq_10!B3</f>
        <v>980</v>
      </c>
      <c r="D60" s="17">
        <f>[23]PARS_syn_stat_stem_freq_10!B3</f>
        <v>1116</v>
      </c>
      <c r="E60" s="17">
        <f>[24]PARS_syn_stat_loop_freq_10!B3</f>
        <v>776</v>
      </c>
      <c r="F60" s="4">
        <f>[25]PARS_syn_stat_stem_AT_GC_freq_1!B3</f>
        <v>534</v>
      </c>
      <c r="G60" s="17">
        <f>[26]PARS_syn_stat_loop_AT_GC_freq_1!B3</f>
        <v>418</v>
      </c>
      <c r="H60" s="4">
        <f>[27]PARS_syn_stat_stem_GC_AT_freq_1!B3</f>
        <v>511</v>
      </c>
      <c r="I60" s="4">
        <f>[28]PARS_syn_stat_loop_GC_AT_freq_1!B3</f>
        <v>305</v>
      </c>
      <c r="J60" s="4"/>
      <c r="K60" s="60"/>
      <c r="L60" s="17" t="s">
        <v>22</v>
      </c>
      <c r="M60" s="17">
        <f>[29]PARS_syn_stat_freq_10_chi_squar!B3</f>
        <v>1846</v>
      </c>
      <c r="N60" s="17">
        <f>[29]PARS_syn_stat_freq_10_chi_squar!C3</f>
        <v>1523</v>
      </c>
      <c r="O60" s="18">
        <f>[29]PARS_syn_stat_freq_10_chi_squar!D3</f>
        <v>0.54793707331552399</v>
      </c>
      <c r="P60" s="18">
        <f t="shared" ref="P60:P78" si="58">N60/(M60+N60)</f>
        <v>0.45206292668447612</v>
      </c>
      <c r="Q60" s="58"/>
      <c r="R60" s="59"/>
    </row>
    <row r="61" spans="1:18" x14ac:dyDescent="0.15">
      <c r="A61" s="17" t="s">
        <v>53</v>
      </c>
      <c r="B61" s="17">
        <f>[21]PARS_syn_stat_SNPs_freq_10!B4</f>
        <v>1249</v>
      </c>
      <c r="C61" s="17">
        <f>[22]PARS_syn_stat_gene_freq_10!B4</f>
        <v>714</v>
      </c>
      <c r="D61" s="17">
        <f>[23]PARS_syn_stat_stem_freq_10!B4</f>
        <v>733</v>
      </c>
      <c r="E61" s="17">
        <f>[24]PARS_syn_stat_loop_freq_10!B4</f>
        <v>516</v>
      </c>
      <c r="F61" s="4">
        <f>[25]PARS_syn_stat_stem_AT_GC_freq_1!B4</f>
        <v>370</v>
      </c>
      <c r="G61" s="17">
        <f>[26]PARS_syn_stat_loop_AT_GC_freq_1!B4</f>
        <v>285</v>
      </c>
      <c r="H61" s="4">
        <f>[27]PARS_syn_stat_stem_GC_AT_freq_1!B4</f>
        <v>323</v>
      </c>
      <c r="I61" s="4">
        <f>[28]PARS_syn_stat_loop_GC_AT_freq_1!B4</f>
        <v>201</v>
      </c>
      <c r="J61" s="4"/>
      <c r="K61" s="60" t="s">
        <v>9</v>
      </c>
      <c r="L61" s="17" t="s">
        <v>21</v>
      </c>
      <c r="M61" s="17">
        <f>[29]PARS_syn_stat_freq_10_chi_squar!B4</f>
        <v>534</v>
      </c>
      <c r="N61" s="17">
        <f>[29]PARS_syn_stat_freq_10_chi_squar!C4</f>
        <v>511</v>
      </c>
      <c r="O61" s="18">
        <f>[29]PARS_syn_stat_freq_10_chi_squar!D4</f>
        <v>0.51100478468899502</v>
      </c>
      <c r="P61" s="18">
        <f t="shared" si="58"/>
        <v>0.48899521531100476</v>
      </c>
      <c r="Q61" s="58">
        <f>[29]PARS_syn_stat_freq_10_chi_squar!E5</f>
        <v>7.7516837485389596</v>
      </c>
      <c r="R61" s="59">
        <f>[29]PARS_syn_stat_freq_10_chi_squar!F5</f>
        <v>5.3661999999999998E-3</v>
      </c>
    </row>
    <row r="62" spans="1:18" x14ac:dyDescent="0.15">
      <c r="A62" s="17" t="s">
        <v>54</v>
      </c>
      <c r="B62" s="17">
        <f>[21]PARS_syn_stat_SNPs_freq_10!B5</f>
        <v>956</v>
      </c>
      <c r="C62" s="17">
        <f>[22]PARS_syn_stat_gene_freq_10!B5</f>
        <v>596</v>
      </c>
      <c r="D62" s="17">
        <f>[23]PARS_syn_stat_stem_freq_10!B5</f>
        <v>559</v>
      </c>
      <c r="E62" s="17">
        <f>[24]PARS_syn_stat_loop_freq_10!B5</f>
        <v>397</v>
      </c>
      <c r="F62" s="4">
        <f>[25]PARS_syn_stat_stem_AT_GC_freq_1!B5</f>
        <v>285</v>
      </c>
      <c r="G62" s="17">
        <f>[26]PARS_syn_stat_loop_AT_GC_freq_1!B5</f>
        <v>216</v>
      </c>
      <c r="H62" s="4">
        <f>[27]PARS_syn_stat_stem_GC_AT_freq_1!B5</f>
        <v>251</v>
      </c>
      <c r="I62" s="4">
        <f>[28]PARS_syn_stat_loop_GC_AT_freq_1!B5</f>
        <v>167</v>
      </c>
      <c r="J62" s="4"/>
      <c r="K62" s="60"/>
      <c r="L62" s="17" t="s">
        <v>22</v>
      </c>
      <c r="M62" s="17">
        <f>[29]PARS_syn_stat_freq_10_chi_squar!B5</f>
        <v>418</v>
      </c>
      <c r="N62" s="17">
        <f>[29]PARS_syn_stat_freq_10_chi_squar!C5</f>
        <v>305</v>
      </c>
      <c r="O62" s="18">
        <f>[29]PARS_syn_stat_freq_10_chi_squar!D5</f>
        <v>0.57814661134163203</v>
      </c>
      <c r="P62" s="18">
        <f t="shared" si="58"/>
        <v>0.42185338865836791</v>
      </c>
      <c r="Q62" s="58">
        <f>[29]PARS_syn_stat_freq_10_chi_squar!E6</f>
        <v>0</v>
      </c>
      <c r="R62" s="59">
        <f>[29]PARS_syn_stat_freq_10_chi_squar!F6</f>
        <v>0</v>
      </c>
    </row>
    <row r="63" spans="1:18" x14ac:dyDescent="0.15">
      <c r="A63" s="17" t="s">
        <v>55</v>
      </c>
      <c r="B63" s="17">
        <f>[21]PARS_syn_stat_SNPs_freq_10!B6</f>
        <v>889</v>
      </c>
      <c r="C63" s="17">
        <f>[22]PARS_syn_stat_gene_freq_10!B6</f>
        <v>514</v>
      </c>
      <c r="D63" s="17">
        <f>[23]PARS_syn_stat_stem_freq_10!B6</f>
        <v>527</v>
      </c>
      <c r="E63" s="17">
        <f>[24]PARS_syn_stat_loop_freq_10!B6</f>
        <v>362</v>
      </c>
      <c r="F63" s="4">
        <f>[25]PARS_syn_stat_stem_AT_GC_freq_1!B6</f>
        <v>273</v>
      </c>
      <c r="G63" s="17">
        <f>[26]PARS_syn_stat_loop_AT_GC_freq_1!B6</f>
        <v>186</v>
      </c>
      <c r="H63" s="4">
        <f>[27]PARS_syn_stat_stem_GC_AT_freq_1!B6</f>
        <v>223</v>
      </c>
      <c r="I63" s="4">
        <f>[28]PARS_syn_stat_loop_GC_AT_freq_1!B6</f>
        <v>160</v>
      </c>
      <c r="J63" s="4"/>
      <c r="K63" s="60" t="s">
        <v>10</v>
      </c>
      <c r="L63" s="17" t="s">
        <v>21</v>
      </c>
      <c r="M63" s="17">
        <f>[29]PARS_syn_stat_freq_10_chi_squar!B6</f>
        <v>370</v>
      </c>
      <c r="N63" s="17">
        <f>[29]PARS_syn_stat_freq_10_chi_squar!C6</f>
        <v>323</v>
      </c>
      <c r="O63" s="18">
        <f>[29]PARS_syn_stat_freq_10_chi_squar!D6</f>
        <v>0.533910533910534</v>
      </c>
      <c r="P63" s="18">
        <f t="shared" si="58"/>
        <v>0.46608946608946611</v>
      </c>
      <c r="Q63" s="58">
        <f>[29]PARS_syn_stat_freq_10_chi_squar!E7</f>
        <v>3.18993506493507</v>
      </c>
      <c r="R63" s="59">
        <f>[29]PARS_syn_stat_freq_10_chi_squar!F7</f>
        <v>7.4093000000000006E-2</v>
      </c>
    </row>
    <row r="64" spans="1:18" x14ac:dyDescent="0.15">
      <c r="A64" s="17" t="s">
        <v>56</v>
      </c>
      <c r="B64" s="17">
        <f>[21]PARS_syn_stat_SNPs_freq_10!B7</f>
        <v>897</v>
      </c>
      <c r="C64" s="17">
        <f>[22]PARS_syn_stat_gene_freq_10!B7</f>
        <v>500</v>
      </c>
      <c r="D64" s="17">
        <f>[23]PARS_syn_stat_stem_freq_10!B7</f>
        <v>536</v>
      </c>
      <c r="E64" s="17">
        <f>[24]PARS_syn_stat_loop_freq_10!B7</f>
        <v>361</v>
      </c>
      <c r="F64" s="4">
        <f>[25]PARS_syn_stat_stem_AT_GC_freq_1!B7</f>
        <v>305</v>
      </c>
      <c r="G64" s="17">
        <f>[26]PARS_syn_stat_loop_AT_GC_freq_1!B7</f>
        <v>189</v>
      </c>
      <c r="H64" s="4">
        <f>[27]PARS_syn_stat_stem_GC_AT_freq_1!B7</f>
        <v>197</v>
      </c>
      <c r="I64" s="4">
        <f>[28]PARS_syn_stat_loop_GC_AT_freq_1!B7</f>
        <v>157</v>
      </c>
      <c r="J64" s="4"/>
      <c r="K64" s="60"/>
      <c r="L64" s="17" t="s">
        <v>22</v>
      </c>
      <c r="M64" s="17">
        <f>[29]PARS_syn_stat_freq_10_chi_squar!B7</f>
        <v>285</v>
      </c>
      <c r="N64" s="17">
        <f>[29]PARS_syn_stat_freq_10_chi_squar!C7</f>
        <v>201</v>
      </c>
      <c r="O64" s="18">
        <f>[29]PARS_syn_stat_freq_10_chi_squar!D7</f>
        <v>0.58641975308642003</v>
      </c>
      <c r="P64" s="18">
        <f t="shared" si="58"/>
        <v>0.41358024691358025</v>
      </c>
      <c r="Q64" s="58">
        <f>[29]PARS_syn_stat_freq_10_chi_squar!E8</f>
        <v>0</v>
      </c>
      <c r="R64" s="59">
        <f>[29]PARS_syn_stat_freq_10_chi_squar!F8</f>
        <v>0</v>
      </c>
    </row>
    <row r="65" spans="1:18" x14ac:dyDescent="0.15">
      <c r="A65" s="17" t="s">
        <v>57</v>
      </c>
      <c r="B65" s="17">
        <f>[21]PARS_syn_stat_SNPs_freq_10!B8</f>
        <v>739</v>
      </c>
      <c r="C65" s="17">
        <f>[22]PARS_syn_stat_gene_freq_10!B8</f>
        <v>481</v>
      </c>
      <c r="D65" s="17">
        <f>[23]PARS_syn_stat_stem_freq_10!B8</f>
        <v>458</v>
      </c>
      <c r="E65" s="17">
        <f>[24]PARS_syn_stat_loop_freq_10!B8</f>
        <v>281</v>
      </c>
      <c r="F65" s="4">
        <f>[25]PARS_syn_stat_stem_AT_GC_freq_1!B8</f>
        <v>235</v>
      </c>
      <c r="G65" s="17">
        <f>[26]PARS_syn_stat_loop_AT_GC_freq_1!B8</f>
        <v>129</v>
      </c>
      <c r="H65" s="4">
        <f>[27]PARS_syn_stat_stem_GC_AT_freq_1!B8</f>
        <v>193</v>
      </c>
      <c r="I65" s="4">
        <f>[28]PARS_syn_stat_loop_GC_AT_freq_1!B8</f>
        <v>137</v>
      </c>
      <c r="J65" s="4"/>
      <c r="K65" s="60" t="s">
        <v>11</v>
      </c>
      <c r="L65" s="17" t="s">
        <v>21</v>
      </c>
      <c r="M65" s="17">
        <f>[29]PARS_syn_stat_freq_10_chi_squar!B8</f>
        <v>285</v>
      </c>
      <c r="N65" s="17">
        <f>[29]PARS_syn_stat_freq_10_chi_squar!C8</f>
        <v>251</v>
      </c>
      <c r="O65" s="18">
        <f>[29]PARS_syn_stat_freq_10_chi_squar!D8</f>
        <v>0.53171641791044799</v>
      </c>
      <c r="P65" s="18">
        <f t="shared" si="58"/>
        <v>0.46828358208955223</v>
      </c>
      <c r="Q65" s="58">
        <f>[29]PARS_syn_stat_freq_10_chi_squar!E9</f>
        <v>0.93709822625567696</v>
      </c>
      <c r="R65" s="59">
        <f>[29]PARS_syn_stat_freq_10_chi_squar!F9</f>
        <v>0.33302999999999999</v>
      </c>
    </row>
    <row r="66" spans="1:18" x14ac:dyDescent="0.15">
      <c r="A66" s="17" t="s">
        <v>58</v>
      </c>
      <c r="B66" s="17">
        <f>[21]PARS_syn_stat_SNPs_freq_10!B9</f>
        <v>853</v>
      </c>
      <c r="C66" s="17">
        <f>[22]PARS_syn_stat_gene_freq_10!B9</f>
        <v>527</v>
      </c>
      <c r="D66" s="17">
        <f>[23]PARS_syn_stat_stem_freq_10!B9</f>
        <v>501</v>
      </c>
      <c r="E66" s="17">
        <f>[24]PARS_syn_stat_loop_freq_10!B9</f>
        <v>352</v>
      </c>
      <c r="F66" s="4">
        <f>[25]PARS_syn_stat_stem_AT_GC_freq_1!B9</f>
        <v>264</v>
      </c>
      <c r="G66" s="17">
        <f>[26]PARS_syn_stat_loop_AT_GC_freq_1!B9</f>
        <v>157</v>
      </c>
      <c r="H66" s="4">
        <f>[27]PARS_syn_stat_stem_GC_AT_freq_1!B9</f>
        <v>206</v>
      </c>
      <c r="I66" s="4">
        <f>[28]PARS_syn_stat_loop_GC_AT_freq_1!B9</f>
        <v>177</v>
      </c>
      <c r="J66" s="4"/>
      <c r="K66" s="60"/>
      <c r="L66" s="17" t="s">
        <v>22</v>
      </c>
      <c r="M66" s="17">
        <f>[29]PARS_syn_stat_freq_10_chi_squar!B9</f>
        <v>216</v>
      </c>
      <c r="N66" s="17">
        <f>[29]PARS_syn_stat_freq_10_chi_squar!C9</f>
        <v>167</v>
      </c>
      <c r="O66" s="18">
        <f>[29]PARS_syn_stat_freq_10_chi_squar!D9</f>
        <v>0.56396866840731097</v>
      </c>
      <c r="P66" s="18">
        <f t="shared" si="58"/>
        <v>0.43603133159268931</v>
      </c>
      <c r="Q66" s="58">
        <f>[29]PARS_syn_stat_freq_10_chi_squar!E10</f>
        <v>0</v>
      </c>
      <c r="R66" s="59">
        <f>[29]PARS_syn_stat_freq_10_chi_squar!F10</f>
        <v>0</v>
      </c>
    </row>
    <row r="67" spans="1:18" x14ac:dyDescent="0.15">
      <c r="A67" s="17" t="s">
        <v>59</v>
      </c>
      <c r="B67" s="17">
        <f>[21]PARS_syn_stat_SNPs_freq_10!B10</f>
        <v>1035</v>
      </c>
      <c r="C67" s="17">
        <f>[22]PARS_syn_stat_gene_freq_10!B10</f>
        <v>612</v>
      </c>
      <c r="D67" s="17">
        <f>[23]PARS_syn_stat_stem_freq_10!B10</f>
        <v>625</v>
      </c>
      <c r="E67" s="17">
        <f>[24]PARS_syn_stat_loop_freq_10!B10</f>
        <v>410</v>
      </c>
      <c r="F67" s="4">
        <f>[25]PARS_syn_stat_stem_AT_GC_freq_1!B10</f>
        <v>363</v>
      </c>
      <c r="G67" s="17">
        <f>[26]PARS_syn_stat_loop_AT_GC_freq_1!B10</f>
        <v>218</v>
      </c>
      <c r="H67" s="4">
        <f>[27]PARS_syn_stat_stem_GC_AT_freq_1!B10</f>
        <v>240</v>
      </c>
      <c r="I67" s="4">
        <f>[28]PARS_syn_stat_loop_GC_AT_freq_1!B10</f>
        <v>172</v>
      </c>
      <c r="J67" s="4"/>
      <c r="K67" s="60" t="s">
        <v>12</v>
      </c>
      <c r="L67" s="17" t="s">
        <v>21</v>
      </c>
      <c r="M67" s="17">
        <f>[29]PARS_syn_stat_freq_10_chi_squar!B10</f>
        <v>273</v>
      </c>
      <c r="N67" s="17">
        <f>[29]PARS_syn_stat_freq_10_chi_squar!C10</f>
        <v>223</v>
      </c>
      <c r="O67" s="18">
        <f>[29]PARS_syn_stat_freq_10_chi_squar!D10</f>
        <v>0.55040322580645196</v>
      </c>
      <c r="P67" s="18">
        <f t="shared" si="58"/>
        <v>0.44959677419354838</v>
      </c>
      <c r="Q67" s="58">
        <f>[29]PARS_syn_stat_freq_10_chi_squar!E11</f>
        <v>0.135324828689868</v>
      </c>
      <c r="R67" s="59">
        <f>[29]PARS_syn_stat_freq_10_chi_squar!F11</f>
        <v>0.71296999999999999</v>
      </c>
    </row>
    <row r="68" spans="1:18" x14ac:dyDescent="0.15">
      <c r="A68" s="17" t="s">
        <v>60</v>
      </c>
      <c r="B68" s="17">
        <f>[21]PARS_syn_stat_SNPs_freq_10!B11</f>
        <v>2738</v>
      </c>
      <c r="C68" s="17">
        <f>[22]PARS_syn_stat_gene_freq_10!B11</f>
        <v>1209</v>
      </c>
      <c r="D68" s="17">
        <f>[23]PARS_syn_stat_stem_freq_10!B11</f>
        <v>1666</v>
      </c>
      <c r="E68" s="17">
        <f>[24]PARS_syn_stat_loop_freq_10!B11</f>
        <v>1072</v>
      </c>
      <c r="F68" s="4">
        <f>[25]PARS_syn_stat_stem_AT_GC_freq_1!B11</f>
        <v>1071</v>
      </c>
      <c r="G68" s="17">
        <f>[26]PARS_syn_stat_loop_AT_GC_freq_1!B11</f>
        <v>618</v>
      </c>
      <c r="H68" s="4">
        <f>[27]PARS_syn_stat_stem_GC_AT_freq_1!B11</f>
        <v>551</v>
      </c>
      <c r="I68" s="4">
        <f>[28]PARS_syn_stat_loop_GC_AT_freq_1!B11</f>
        <v>418</v>
      </c>
      <c r="J68" s="4"/>
      <c r="K68" s="60"/>
      <c r="L68" s="17" t="s">
        <v>22</v>
      </c>
      <c r="M68" s="17">
        <f>[29]PARS_syn_stat_freq_10_chi_squar!B11</f>
        <v>186</v>
      </c>
      <c r="N68" s="17">
        <f>[29]PARS_syn_stat_freq_10_chi_squar!C11</f>
        <v>160</v>
      </c>
      <c r="O68" s="18">
        <f>[29]PARS_syn_stat_freq_10_chi_squar!D11</f>
        <v>0.53757225433526001</v>
      </c>
      <c r="P68" s="18">
        <f t="shared" si="58"/>
        <v>0.46242774566473988</v>
      </c>
      <c r="Q68" s="58">
        <f>[29]PARS_syn_stat_freq_10_chi_squar!E12</f>
        <v>0</v>
      </c>
      <c r="R68" s="59">
        <f>[29]PARS_syn_stat_freq_10_chi_squar!F12</f>
        <v>0</v>
      </c>
    </row>
    <row r="69" spans="1:18" x14ac:dyDescent="0.15">
      <c r="A69" s="17" t="s">
        <v>61</v>
      </c>
      <c r="B69" s="51">
        <f>SUM(B59:B68)</f>
        <v>20188</v>
      </c>
      <c r="C69" s="51">
        <f>SUM(C59:C68)</f>
        <v>7938</v>
      </c>
      <c r="D69" s="17">
        <f>SUM(D59:D68)</f>
        <v>12045</v>
      </c>
      <c r="E69" s="17">
        <f t="shared" ref="E69:I69" si="59">SUM(E59:E68)</f>
        <v>8143</v>
      </c>
      <c r="F69" s="17">
        <f t="shared" si="59"/>
        <v>5969</v>
      </c>
      <c r="G69" s="17">
        <f t="shared" si="59"/>
        <v>4262</v>
      </c>
      <c r="H69" s="17">
        <f t="shared" si="59"/>
        <v>5359</v>
      </c>
      <c r="I69" s="17">
        <f t="shared" si="59"/>
        <v>3417</v>
      </c>
      <c r="J69" s="17"/>
      <c r="K69" s="60" t="s">
        <v>13</v>
      </c>
      <c r="L69" s="17" t="s">
        <v>21</v>
      </c>
      <c r="M69" s="17">
        <f>[29]PARS_syn_stat_freq_10_chi_squar!B12</f>
        <v>305</v>
      </c>
      <c r="N69" s="17">
        <f>[29]PARS_syn_stat_freq_10_chi_squar!C12</f>
        <v>197</v>
      </c>
      <c r="O69" s="18">
        <f>[29]PARS_syn_stat_freq_10_chi_squar!D12</f>
        <v>0.60756972111553798</v>
      </c>
      <c r="P69" s="18">
        <f t="shared" si="58"/>
        <v>0.39243027888446214</v>
      </c>
      <c r="Q69" s="58">
        <f>[29]PARS_syn_stat_freq_10_chi_squar!E13</f>
        <v>3.1677298781722598</v>
      </c>
      <c r="R69" s="59">
        <f>[29]PARS_syn_stat_freq_10_chi_squar!F13</f>
        <v>7.5106999999999993E-2</v>
      </c>
    </row>
    <row r="70" spans="1:18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60"/>
      <c r="L70" s="17" t="s">
        <v>22</v>
      </c>
      <c r="M70" s="17">
        <f>[29]PARS_syn_stat_freq_10_chi_squar!B13</f>
        <v>189</v>
      </c>
      <c r="N70" s="17">
        <f>[29]PARS_syn_stat_freq_10_chi_squar!C13</f>
        <v>157</v>
      </c>
      <c r="O70" s="18">
        <f>[29]PARS_syn_stat_freq_10_chi_squar!D13</f>
        <v>0.54624277456647397</v>
      </c>
      <c r="P70" s="18">
        <f t="shared" si="58"/>
        <v>0.45375722543352603</v>
      </c>
      <c r="Q70" s="58">
        <f>[29]PARS_syn_stat_freq_10_chi_squar!E14</f>
        <v>0</v>
      </c>
      <c r="R70" s="59">
        <f>[29]PARS_syn_stat_freq_10_chi_squar!F14</f>
        <v>0</v>
      </c>
    </row>
    <row r="71" spans="1:18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60" t="s">
        <v>14</v>
      </c>
      <c r="L71" s="17" t="s">
        <v>21</v>
      </c>
      <c r="M71" s="17">
        <f>[29]PARS_syn_stat_freq_10_chi_squar!B14</f>
        <v>235</v>
      </c>
      <c r="N71" s="17">
        <f>[29]PARS_syn_stat_freq_10_chi_squar!C14</f>
        <v>193</v>
      </c>
      <c r="O71" s="18">
        <f>[29]PARS_syn_stat_freq_10_chi_squar!D14</f>
        <v>0.54906542056074803</v>
      </c>
      <c r="P71" s="18">
        <f t="shared" si="58"/>
        <v>0.45093457943925236</v>
      </c>
      <c r="Q71" s="58">
        <f>[29]PARS_syn_stat_freq_10_chi_squar!E15</f>
        <v>2.7028780994612598</v>
      </c>
      <c r="R71" s="59">
        <f>[29]PARS_syn_stat_freq_10_chi_squar!F15</f>
        <v>0.10017</v>
      </c>
    </row>
    <row r="72" spans="1:18" x14ac:dyDescent="0.15">
      <c r="A72" s="17" t="s">
        <v>62</v>
      </c>
      <c r="B72" s="17"/>
      <c r="C72" s="17"/>
      <c r="D72" s="17" t="s">
        <v>18</v>
      </c>
      <c r="E72" s="17" t="s">
        <v>35</v>
      </c>
      <c r="F72" s="17" t="s">
        <v>24</v>
      </c>
      <c r="G72" s="17" t="s">
        <v>25</v>
      </c>
      <c r="H72" s="17" t="s">
        <v>31</v>
      </c>
      <c r="I72" s="17" t="s">
        <v>32</v>
      </c>
      <c r="J72" s="17"/>
      <c r="K72" s="60"/>
      <c r="L72" s="17" t="s">
        <v>22</v>
      </c>
      <c r="M72" s="17">
        <f>[29]PARS_syn_stat_freq_10_chi_squar!B15</f>
        <v>129</v>
      </c>
      <c r="N72" s="17">
        <f>[29]PARS_syn_stat_freq_10_chi_squar!C15</f>
        <v>137</v>
      </c>
      <c r="O72" s="18">
        <f>[29]PARS_syn_stat_freq_10_chi_squar!D15</f>
        <v>0.48496240601503798</v>
      </c>
      <c r="P72" s="18">
        <f t="shared" si="58"/>
        <v>0.51503759398496241</v>
      </c>
      <c r="Q72" s="58">
        <f>[29]PARS_syn_stat_freq_10_chi_squar!E16</f>
        <v>0</v>
      </c>
      <c r="R72" s="59">
        <f>[29]PARS_syn_stat_freq_10_chi_squar!F16</f>
        <v>0</v>
      </c>
    </row>
    <row r="73" spans="1:18" x14ac:dyDescent="0.15">
      <c r="A73" s="17" t="s">
        <v>52</v>
      </c>
      <c r="B73" s="51">
        <f t="shared" ref="B73:C73" si="60">B59/B$69</f>
        <v>0.44283732910639984</v>
      </c>
      <c r="C73" s="51">
        <f t="shared" si="60"/>
        <v>0.227387251196775</v>
      </c>
      <c r="D73" s="25">
        <f t="shared" ref="D73:H73" si="61">D59/D$69</f>
        <v>0.44200913242009132</v>
      </c>
      <c r="E73" s="25">
        <f t="shared" si="61"/>
        <v>0.44406238487044086</v>
      </c>
      <c r="F73" s="25">
        <f t="shared" si="61"/>
        <v>0.38013067515496735</v>
      </c>
      <c r="G73" s="25">
        <f t="shared" si="61"/>
        <v>0.43312998592210228</v>
      </c>
      <c r="H73" s="25">
        <f t="shared" si="61"/>
        <v>0.49710766934129502</v>
      </c>
      <c r="I73" s="21">
        <f t="shared" ref="I73" si="62">I59/I$69</f>
        <v>0.44571261340357038</v>
      </c>
      <c r="J73" s="17"/>
      <c r="K73" s="60" t="s">
        <v>15</v>
      </c>
      <c r="L73" s="17" t="s">
        <v>21</v>
      </c>
      <c r="M73" s="17">
        <f>[29]PARS_syn_stat_freq_10_chi_squar!B16</f>
        <v>264</v>
      </c>
      <c r="N73" s="17">
        <f>[29]PARS_syn_stat_freq_10_chi_squar!C16</f>
        <v>206</v>
      </c>
      <c r="O73" s="18">
        <f>[29]PARS_syn_stat_freq_10_chi_squar!D16</f>
        <v>0.56170212765957495</v>
      </c>
      <c r="P73" s="18">
        <f t="shared" si="58"/>
        <v>0.43829787234042555</v>
      </c>
      <c r="Q73" s="58">
        <f>[29]PARS_syn_stat_freq_10_chi_squar!E17</f>
        <v>6.5737164316804497</v>
      </c>
      <c r="R73" s="59">
        <f>[29]PARS_syn_stat_freq_10_chi_squar!F17</f>
        <v>1.035E-2</v>
      </c>
    </row>
    <row r="74" spans="1:18" x14ac:dyDescent="0.15">
      <c r="A74" s="17" t="s">
        <v>38</v>
      </c>
      <c r="B74" s="51">
        <f t="shared" ref="B74:C74" si="63">B60/B$69</f>
        <v>9.3719041014464044E-2</v>
      </c>
      <c r="C74" s="51">
        <f t="shared" si="63"/>
        <v>0.12345679012345678</v>
      </c>
      <c r="D74" s="25">
        <f t="shared" ref="D74:H74" si="64">D60/D$69</f>
        <v>9.2652552926525536E-2</v>
      </c>
      <c r="E74" s="25">
        <f t="shared" si="64"/>
        <v>9.5296573744320281E-2</v>
      </c>
      <c r="F74" s="25">
        <f t="shared" si="64"/>
        <v>8.946222147763444E-2</v>
      </c>
      <c r="G74" s="25">
        <f t="shared" si="64"/>
        <v>9.8076020647583292E-2</v>
      </c>
      <c r="H74" s="25">
        <f t="shared" si="64"/>
        <v>9.5353610748273934E-2</v>
      </c>
      <c r="I74" s="21">
        <f t="shared" ref="I74" si="65">I60/I$69</f>
        <v>8.9259584430787242E-2</v>
      </c>
      <c r="J74" s="17"/>
      <c r="K74" s="60"/>
      <c r="L74" s="17" t="s">
        <v>22</v>
      </c>
      <c r="M74" s="17">
        <f>[29]PARS_syn_stat_freq_10_chi_squar!B17</f>
        <v>157</v>
      </c>
      <c r="N74" s="17">
        <f>[29]PARS_syn_stat_freq_10_chi_squar!C17</f>
        <v>177</v>
      </c>
      <c r="O74" s="18">
        <f>[29]PARS_syn_stat_freq_10_chi_squar!D17</f>
        <v>0.470059880239521</v>
      </c>
      <c r="P74" s="18">
        <f t="shared" si="58"/>
        <v>0.52994011976047906</v>
      </c>
      <c r="Q74" s="58">
        <f>[29]PARS_syn_stat_freq_10_chi_squar!E18</f>
        <v>0</v>
      </c>
      <c r="R74" s="59">
        <f>[29]PARS_syn_stat_freq_10_chi_squar!F18</f>
        <v>0</v>
      </c>
    </row>
    <row r="75" spans="1:18" x14ac:dyDescent="0.15">
      <c r="A75" s="17" t="s">
        <v>53</v>
      </c>
      <c r="B75" s="51">
        <f t="shared" ref="B75:C75" si="66">B61/B$69</f>
        <v>6.1868436695066378E-2</v>
      </c>
      <c r="C75" s="51">
        <f t="shared" si="66"/>
        <v>8.9947089947089942E-2</v>
      </c>
      <c r="D75" s="25">
        <f t="shared" ref="D75:H75" si="67">D61/D$69</f>
        <v>6.0855126608551267E-2</v>
      </c>
      <c r="E75" s="25">
        <f t="shared" si="67"/>
        <v>6.3367309345450082E-2</v>
      </c>
      <c r="F75" s="25">
        <f t="shared" si="67"/>
        <v>6.1986932484503265E-2</v>
      </c>
      <c r="G75" s="25">
        <f t="shared" si="67"/>
        <v>6.6870014077897694E-2</v>
      </c>
      <c r="H75" s="25">
        <f t="shared" si="67"/>
        <v>6.0272438887852213E-2</v>
      </c>
      <c r="I75" s="21">
        <f t="shared" ref="I75" si="68">I61/I$69</f>
        <v>5.8823529411764705E-2</v>
      </c>
      <c r="J75" s="17"/>
      <c r="K75" s="60" t="s">
        <v>16</v>
      </c>
      <c r="L75" s="17" t="s">
        <v>21</v>
      </c>
      <c r="M75" s="17">
        <f>[29]PARS_syn_stat_freq_10_chi_squar!B18</f>
        <v>363</v>
      </c>
      <c r="N75" s="17">
        <f>[29]PARS_syn_stat_freq_10_chi_squar!C18</f>
        <v>240</v>
      </c>
      <c r="O75" s="18">
        <f>[29]PARS_syn_stat_freq_10_chi_squar!D18</f>
        <v>0.60199004975124404</v>
      </c>
      <c r="P75" s="18">
        <f t="shared" si="58"/>
        <v>0.39800995024875624</v>
      </c>
      <c r="Q75" s="58">
        <f>[29]PARS_syn_stat_freq_10_chi_squar!E19</f>
        <v>1.8051430443145999</v>
      </c>
      <c r="R75" s="59">
        <f>[29]PARS_syn_stat_freq_10_chi_squar!F19</f>
        <v>0.17909</v>
      </c>
    </row>
    <row r="76" spans="1:18" x14ac:dyDescent="0.15">
      <c r="A76" s="17" t="s">
        <v>54</v>
      </c>
      <c r="B76" s="51">
        <f t="shared" ref="B76:C76" si="69">B62/B$69</f>
        <v>4.7354864275807408E-2</v>
      </c>
      <c r="C76" s="51">
        <f t="shared" si="69"/>
        <v>7.5081884605694135E-2</v>
      </c>
      <c r="D76" s="25">
        <f t="shared" ref="D76:H76" si="70">D62/D$69</f>
        <v>4.6409298464092988E-2</v>
      </c>
      <c r="E76" s="25">
        <f t="shared" si="70"/>
        <v>4.8753530639813338E-2</v>
      </c>
      <c r="F76" s="25">
        <f t="shared" si="70"/>
        <v>4.7746691238063327E-2</v>
      </c>
      <c r="G76" s="25">
        <f t="shared" si="70"/>
        <v>5.0680431722196155E-2</v>
      </c>
      <c r="H76" s="25">
        <f t="shared" si="70"/>
        <v>4.6837096473222616E-2</v>
      </c>
      <c r="I76" s="21">
        <f t="shared" ref="I76" si="71">I62/I$69</f>
        <v>4.8873280655545803E-2</v>
      </c>
      <c r="J76" s="17"/>
      <c r="K76" s="60"/>
      <c r="L76" s="17" t="s">
        <v>22</v>
      </c>
      <c r="M76" s="17">
        <f>[29]PARS_syn_stat_freq_10_chi_squar!B19</f>
        <v>218</v>
      </c>
      <c r="N76" s="17">
        <f>[29]PARS_syn_stat_freq_10_chi_squar!C19</f>
        <v>172</v>
      </c>
      <c r="O76" s="18">
        <f>[29]PARS_syn_stat_freq_10_chi_squar!D19</f>
        <v>0.55897435897435899</v>
      </c>
      <c r="P76" s="18">
        <f t="shared" si="58"/>
        <v>0.44102564102564101</v>
      </c>
      <c r="Q76" s="58">
        <f>[29]PARS_syn_stat_freq_10_chi_squar!E20</f>
        <v>0</v>
      </c>
      <c r="R76" s="59">
        <f>[29]PARS_syn_stat_freq_10_chi_squar!F20</f>
        <v>0</v>
      </c>
    </row>
    <row r="77" spans="1:18" x14ac:dyDescent="0.15">
      <c r="A77" s="17" t="s">
        <v>55</v>
      </c>
      <c r="B77" s="51">
        <f t="shared" ref="B77:C77" si="72">B63/B$69</f>
        <v>4.403606102635229E-2</v>
      </c>
      <c r="C77" s="51">
        <f t="shared" si="72"/>
        <v>6.475182665658856E-2</v>
      </c>
      <c r="D77" s="25">
        <f t="shared" ref="D77:H77" si="73">D63/D$69</f>
        <v>4.3752594437525945E-2</v>
      </c>
      <c r="E77" s="25">
        <f t="shared" si="73"/>
        <v>4.4455360432273119E-2</v>
      </c>
      <c r="F77" s="25">
        <f t="shared" si="73"/>
        <v>4.5736304238565922E-2</v>
      </c>
      <c r="G77" s="25">
        <f t="shared" si="73"/>
        <v>4.3641482871891131E-2</v>
      </c>
      <c r="H77" s="25">
        <f t="shared" si="73"/>
        <v>4.1612241089755551E-2</v>
      </c>
      <c r="I77" s="21">
        <f t="shared" ref="I77" si="74">I63/I$69</f>
        <v>4.6824700029265434E-2</v>
      </c>
      <c r="J77" s="17"/>
      <c r="K77" s="60" t="s">
        <v>17</v>
      </c>
      <c r="L77" s="17" t="s">
        <v>21</v>
      </c>
      <c r="M77" s="17">
        <f>[29]PARS_syn_stat_freq_10_chi_squar!B20</f>
        <v>1071</v>
      </c>
      <c r="N77" s="17">
        <f>[29]PARS_syn_stat_freq_10_chi_squar!C20</f>
        <v>551</v>
      </c>
      <c r="O77" s="18">
        <f>[29]PARS_syn_stat_freq_10_chi_squar!D20</f>
        <v>0.66029593094944505</v>
      </c>
      <c r="P77" s="18">
        <f t="shared" si="58"/>
        <v>0.33970406905055489</v>
      </c>
      <c r="Q77" s="58">
        <f>[29]PARS_syn_stat_freq_10_chi_squar!E21</f>
        <v>11.098297302679899</v>
      </c>
      <c r="R77" s="59">
        <f>[29]PARS_syn_stat_freq_10_chi_squar!F21</f>
        <v>8.6406999999999999E-4</v>
      </c>
    </row>
    <row r="78" spans="1:18" x14ac:dyDescent="0.15">
      <c r="A78" s="17" t="s">
        <v>56</v>
      </c>
      <c r="B78" s="51">
        <f t="shared" ref="B78:C78" si="75">B64/B$69</f>
        <v>4.4432336041212599E-2</v>
      </c>
      <c r="C78" s="51">
        <f t="shared" si="75"/>
        <v>6.2988158226253463E-2</v>
      </c>
      <c r="D78" s="25">
        <f t="shared" ref="D78:H78" si="76">D64/D$69</f>
        <v>4.4499792444997924E-2</v>
      </c>
      <c r="E78" s="25">
        <f t="shared" si="76"/>
        <v>4.4332555569200544E-2</v>
      </c>
      <c r="F78" s="25">
        <f t="shared" si="76"/>
        <v>5.1097336237225663E-2</v>
      </c>
      <c r="G78" s="25">
        <f t="shared" si="76"/>
        <v>4.4345377756921635E-2</v>
      </c>
      <c r="H78" s="25">
        <f t="shared" si="76"/>
        <v>3.6760589662250417E-2</v>
      </c>
      <c r="I78" s="21">
        <f t="shared" ref="I78" si="77">I64/I$69</f>
        <v>4.5946736903716708E-2</v>
      </c>
      <c r="J78" s="17"/>
      <c r="K78" s="60"/>
      <c r="L78" s="17" t="s">
        <v>22</v>
      </c>
      <c r="M78" s="17">
        <f>[29]PARS_syn_stat_freq_10_chi_squar!B21</f>
        <v>618</v>
      </c>
      <c r="N78" s="17">
        <f>[29]PARS_syn_stat_freq_10_chi_squar!C21</f>
        <v>418</v>
      </c>
      <c r="O78" s="18">
        <f>[29]PARS_syn_stat_freq_10_chi_squar!D21</f>
        <v>0.596525096525097</v>
      </c>
      <c r="P78" s="18">
        <f t="shared" si="58"/>
        <v>0.4034749034749035</v>
      </c>
      <c r="Q78" s="58">
        <f>[29]PARS_syn_stat_freq_10_chi_squar!E22</f>
        <v>0</v>
      </c>
      <c r="R78" s="59">
        <f>[29]PARS_syn_stat_freq_10_chi_squar!F22</f>
        <v>0</v>
      </c>
    </row>
    <row r="79" spans="1:18" x14ac:dyDescent="0.15">
      <c r="A79" s="17" t="s">
        <v>57</v>
      </c>
      <c r="B79" s="51">
        <f t="shared" ref="B79:C79" si="78">B65/B$69</f>
        <v>3.6605904497721421E-2</v>
      </c>
      <c r="C79" s="51">
        <f t="shared" si="78"/>
        <v>6.059460821365583E-2</v>
      </c>
      <c r="D79" s="25">
        <f t="shared" ref="D79:H79" si="79">D65/D$69</f>
        <v>3.8024076380240766E-2</v>
      </c>
      <c r="E79" s="25">
        <f t="shared" si="79"/>
        <v>3.4508166523394328E-2</v>
      </c>
      <c r="F79" s="25">
        <f t="shared" si="79"/>
        <v>3.937007874015748E-2</v>
      </c>
      <c r="G79" s="25">
        <f t="shared" si="79"/>
        <v>3.026748005631159E-2</v>
      </c>
      <c r="H79" s="25">
        <f t="shared" si="79"/>
        <v>3.601418175032655E-2</v>
      </c>
      <c r="I79" s="21">
        <f t="shared" ref="I79" si="80">I65/I$69</f>
        <v>4.009364940005853E-2</v>
      </c>
      <c r="J79" s="17"/>
      <c r="K79" s="17"/>
      <c r="L79" s="17"/>
      <c r="M79" s="17"/>
      <c r="N79" s="17"/>
      <c r="O79" s="18"/>
      <c r="P79" s="18"/>
    </row>
    <row r="80" spans="1:18" x14ac:dyDescent="0.15">
      <c r="A80" s="17" t="s">
        <v>58</v>
      </c>
      <c r="B80" s="51">
        <f t="shared" ref="B80:C80" si="81">B66/B$69</f>
        <v>4.2252823459480879E-2</v>
      </c>
      <c r="C80" s="51">
        <f t="shared" si="81"/>
        <v>6.6389518770471154E-2</v>
      </c>
      <c r="D80" s="25">
        <f t="shared" ref="D80:H80" si="82">D66/D$69</f>
        <v>4.1594022415940221E-2</v>
      </c>
      <c r="E80" s="25">
        <f t="shared" si="82"/>
        <v>4.322731180154734E-2</v>
      </c>
      <c r="F80" s="25">
        <f t="shared" si="82"/>
        <v>4.4228513988942869E-2</v>
      </c>
      <c r="G80" s="25">
        <f t="shared" si="82"/>
        <v>3.6837165649929608E-2</v>
      </c>
      <c r="H80" s="25">
        <f t="shared" si="82"/>
        <v>3.8440007464079121E-2</v>
      </c>
      <c r="I80" s="21">
        <f t="shared" ref="I80" si="83">I66/I$69</f>
        <v>5.1799824407374892E-2</v>
      </c>
      <c r="J80" s="17"/>
      <c r="K80" s="17"/>
      <c r="L80" s="17"/>
      <c r="M80" s="17"/>
      <c r="N80" s="17"/>
      <c r="O80" s="18"/>
      <c r="P80" s="18"/>
    </row>
    <row r="81" spans="1:18" x14ac:dyDescent="0.15">
      <c r="A81" s="17" t="s">
        <v>59</v>
      </c>
      <c r="B81" s="51">
        <f t="shared" ref="B81:C81" si="84">B67/B$69</f>
        <v>5.1268080047553004E-2</v>
      </c>
      <c r="C81" s="51">
        <f t="shared" si="84"/>
        <v>7.7097505668934238E-2</v>
      </c>
      <c r="D81" s="25">
        <f t="shared" ref="D81:H81" si="85">D67/D$69</f>
        <v>5.1888750518887507E-2</v>
      </c>
      <c r="E81" s="25">
        <f t="shared" si="85"/>
        <v>5.0349993859756845E-2</v>
      </c>
      <c r="F81" s="25">
        <f t="shared" si="85"/>
        <v>6.0814206734796449E-2</v>
      </c>
      <c r="G81" s="25">
        <f t="shared" si="85"/>
        <v>5.1149694978883151E-2</v>
      </c>
      <c r="H81" s="25">
        <f t="shared" si="85"/>
        <v>4.4784474715431982E-2</v>
      </c>
      <c r="I81" s="21">
        <f t="shared" ref="I81" si="86">I67/I$69</f>
        <v>5.0336552531460348E-2</v>
      </c>
      <c r="J81" s="17"/>
      <c r="K81" s="17"/>
      <c r="L81" s="17"/>
      <c r="M81" s="17"/>
      <c r="N81" s="17"/>
      <c r="O81" s="18"/>
      <c r="P81" s="18"/>
    </row>
    <row r="82" spans="1:18" x14ac:dyDescent="0.15">
      <c r="A82" s="17" t="s">
        <v>60</v>
      </c>
      <c r="B82" s="51">
        <f t="shared" ref="B82:C82" si="87">B68/B$69</f>
        <v>0.13562512383594214</v>
      </c>
      <c r="C82" s="51">
        <f t="shared" si="87"/>
        <v>0.15230536659108088</v>
      </c>
      <c r="D82" s="25">
        <f t="shared" ref="D82:H82" si="88">D68/D$69</f>
        <v>0.13831465338314652</v>
      </c>
      <c r="E82" s="25">
        <f t="shared" si="88"/>
        <v>0.13164681321380325</v>
      </c>
      <c r="F82" s="25">
        <f t="shared" si="88"/>
        <v>0.17942703970514323</v>
      </c>
      <c r="G82" s="25">
        <f t="shared" si="88"/>
        <v>0.14500234631628345</v>
      </c>
      <c r="H82" s="25">
        <f t="shared" si="88"/>
        <v>0.10281768986751259</v>
      </c>
      <c r="I82" s="21">
        <f t="shared" ref="I82" si="89">I68/I$69</f>
        <v>0.12232952882645595</v>
      </c>
      <c r="J82" s="17"/>
      <c r="K82" s="17"/>
      <c r="L82" s="17"/>
      <c r="M82" s="17"/>
      <c r="N82" s="17"/>
      <c r="O82" s="18"/>
      <c r="P82" s="18"/>
    </row>
    <row r="85" spans="1:18" x14ac:dyDescent="0.15">
      <c r="A85" s="23" t="s">
        <v>65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8"/>
      <c r="P85" s="18"/>
    </row>
    <row r="86" spans="1:18" x14ac:dyDescent="0.15">
      <c r="A86" s="17" t="s">
        <v>62</v>
      </c>
      <c r="B86" s="17" t="s">
        <v>5</v>
      </c>
      <c r="C86" s="17" t="s">
        <v>6</v>
      </c>
      <c r="D86" s="17" t="s">
        <v>18</v>
      </c>
      <c r="E86" s="17" t="s">
        <v>29</v>
      </c>
      <c r="F86" s="17" t="s">
        <v>24</v>
      </c>
      <c r="G86" s="17" t="s">
        <v>25</v>
      </c>
      <c r="H86" s="17" t="s">
        <v>31</v>
      </c>
      <c r="I86" s="17" t="s">
        <v>32</v>
      </c>
      <c r="J86" s="17"/>
      <c r="K86" s="17" t="s">
        <v>23</v>
      </c>
      <c r="L86" s="17" t="s">
        <v>19</v>
      </c>
      <c r="M86" s="17" t="s">
        <v>27</v>
      </c>
      <c r="N86" s="17" t="s">
        <v>26</v>
      </c>
      <c r="O86" s="18" t="s">
        <v>28</v>
      </c>
      <c r="P86" s="17" t="s">
        <v>37</v>
      </c>
      <c r="Q86" s="19" t="s">
        <v>34</v>
      </c>
      <c r="R86" s="20" t="s">
        <v>20</v>
      </c>
    </row>
    <row r="87" spans="1:18" x14ac:dyDescent="0.15">
      <c r="A87" s="17" t="s">
        <v>52</v>
      </c>
      <c r="B87" s="17">
        <f>[30]PARS_nsy_stat_SNPs_freq_10!B2</f>
        <v>11193</v>
      </c>
      <c r="C87" s="17">
        <f>[31]PARS_nsy_stat_gene_freq_10!B2</f>
        <v>1835</v>
      </c>
      <c r="D87" s="17">
        <f>[32]PARS_nsy_stat_stem_freq_10!B2</f>
        <v>6724</v>
      </c>
      <c r="E87" s="17">
        <f>[33]PARS_nsy_stat_loop_freq_10!B2</f>
        <v>4469</v>
      </c>
      <c r="F87" s="4">
        <f>[34]PARS_nsy_stat_stem_AT_GC_freq_1!B2</f>
        <v>2027</v>
      </c>
      <c r="G87" s="17">
        <f>[35]PARS_nsy_stat_loop_AT_GC_freq_1!B2</f>
        <v>1958</v>
      </c>
      <c r="H87" s="4">
        <f>[36]PARS_nsy_stat_stem_GC_AT_freq_1!B2</f>
        <v>3684</v>
      </c>
      <c r="I87" s="4">
        <f>[37]PARS_nsy_stat_loop_GC_AT_freq_1!B2</f>
        <v>1769</v>
      </c>
      <c r="J87" s="4"/>
      <c r="K87" s="60" t="s">
        <v>8</v>
      </c>
      <c r="L87" s="17" t="s">
        <v>21</v>
      </c>
      <c r="M87" s="17">
        <f>[38]PARS_nsy_stat_freq_10_chi_squar!B2</f>
        <v>2027</v>
      </c>
      <c r="N87" s="17">
        <f>[38]PARS_nsy_stat_freq_10_chi_squar!C2</f>
        <v>3684</v>
      </c>
      <c r="O87" s="18">
        <f>[38]PARS_nsy_stat_freq_10_chi_squar!D2</f>
        <v>0.354929084223428</v>
      </c>
      <c r="P87" s="18">
        <f>N87/(M87+N87)</f>
        <v>0.6450709157765715</v>
      </c>
      <c r="Q87" s="58">
        <f>[38]PARS_nsy_stat_freq_10_chi_squar!E3</f>
        <v>268.51069822316998</v>
      </c>
      <c r="R87" s="59">
        <f>[38]PARS_nsy_stat_freq_10_chi_squar!F3</f>
        <v>2.3961000000000001E-60</v>
      </c>
    </row>
    <row r="88" spans="1:18" x14ac:dyDescent="0.15">
      <c r="A88" s="17" t="s">
        <v>38</v>
      </c>
      <c r="B88" s="17">
        <f>[30]PARS_nsy_stat_SNPs_freq_10!B3</f>
        <v>1299</v>
      </c>
      <c r="C88" s="17">
        <f>[31]PARS_nsy_stat_gene_freq_10!B3</f>
        <v>800</v>
      </c>
      <c r="D88" s="17">
        <f>[32]PARS_nsy_stat_stem_freq_10!B3</f>
        <v>796</v>
      </c>
      <c r="E88" s="17">
        <f>[33]PARS_nsy_stat_loop_freq_10!B3</f>
        <v>503</v>
      </c>
      <c r="F88" s="4">
        <f>[34]PARS_nsy_stat_stem_AT_GC_freq_1!B3</f>
        <v>238</v>
      </c>
      <c r="G88" s="17">
        <f>[35]PARS_nsy_stat_loop_AT_GC_freq_1!B3</f>
        <v>236</v>
      </c>
      <c r="H88" s="4">
        <f>[36]PARS_nsy_stat_stem_GC_AT_freq_1!B3</f>
        <v>429</v>
      </c>
      <c r="I88" s="4">
        <f>[37]PARS_nsy_stat_loop_GC_AT_freq_1!B3</f>
        <v>193</v>
      </c>
      <c r="J88" s="4"/>
      <c r="K88" s="60"/>
      <c r="L88" s="17" t="s">
        <v>22</v>
      </c>
      <c r="M88" s="17">
        <f>[38]PARS_nsy_stat_freq_10_chi_squar!B3</f>
        <v>1958</v>
      </c>
      <c r="N88" s="17">
        <f>[38]PARS_nsy_stat_freq_10_chi_squar!C3</f>
        <v>1769</v>
      </c>
      <c r="O88" s="18">
        <f>[38]PARS_nsy_stat_freq_10_chi_squar!D3</f>
        <v>0.52535551381808399</v>
      </c>
      <c r="P88" s="18">
        <f t="shared" ref="P88:P106" si="90">N88/(M88+N88)</f>
        <v>0.47464448618191574</v>
      </c>
      <c r="Q88" s="58"/>
      <c r="R88" s="59"/>
    </row>
    <row r="89" spans="1:18" x14ac:dyDescent="0.15">
      <c r="A89" s="17" t="s">
        <v>53</v>
      </c>
      <c r="B89" s="17">
        <f>[30]PARS_nsy_stat_SNPs_freq_10!B4</f>
        <v>669</v>
      </c>
      <c r="C89" s="17">
        <f>[31]PARS_nsy_stat_gene_freq_10!B4</f>
        <v>477</v>
      </c>
      <c r="D89" s="17">
        <f>[32]PARS_nsy_stat_stem_freq_10!B4</f>
        <v>400</v>
      </c>
      <c r="E89" s="17">
        <f>[33]PARS_nsy_stat_loop_freq_10!B4</f>
        <v>269</v>
      </c>
      <c r="F89" s="4">
        <f>[34]PARS_nsy_stat_stem_AT_GC_freq_1!B4</f>
        <v>136</v>
      </c>
      <c r="G89" s="17">
        <f>[35]PARS_nsy_stat_loop_AT_GC_freq_1!B4</f>
        <v>139</v>
      </c>
      <c r="H89" s="4">
        <f>[36]PARS_nsy_stat_stem_GC_AT_freq_1!B4</f>
        <v>211</v>
      </c>
      <c r="I89" s="4">
        <f>[37]PARS_nsy_stat_loop_GC_AT_freq_1!B4</f>
        <v>95</v>
      </c>
      <c r="J89" s="4"/>
      <c r="K89" s="60" t="s">
        <v>9</v>
      </c>
      <c r="L89" s="17" t="s">
        <v>21</v>
      </c>
      <c r="M89" s="17">
        <f>[38]PARS_nsy_stat_freq_10_chi_squar!B4</f>
        <v>238</v>
      </c>
      <c r="N89" s="17">
        <f>[38]PARS_nsy_stat_freq_10_chi_squar!C4</f>
        <v>429</v>
      </c>
      <c r="O89" s="18">
        <f>[38]PARS_nsy_stat_freq_10_chi_squar!D4</f>
        <v>0.35682158920539703</v>
      </c>
      <c r="P89" s="18">
        <f t="shared" si="90"/>
        <v>0.6431784107946027</v>
      </c>
      <c r="Q89" s="58">
        <f>[38]PARS_nsy_stat_freq_10_chi_squar!E5</f>
        <v>39.743491593890198</v>
      </c>
      <c r="R89" s="59">
        <f>[38]PARS_nsy_stat_freq_10_chi_squar!F5</f>
        <v>2.8960000000000001E-10</v>
      </c>
    </row>
    <row r="90" spans="1:18" x14ac:dyDescent="0.15">
      <c r="A90" s="17" t="s">
        <v>54</v>
      </c>
      <c r="B90" s="17">
        <f>[30]PARS_nsy_stat_SNPs_freq_10!B5</f>
        <v>390</v>
      </c>
      <c r="C90" s="17">
        <f>[31]PARS_nsy_stat_gene_freq_10!B5</f>
        <v>324</v>
      </c>
      <c r="D90" s="17">
        <f>[32]PARS_nsy_stat_stem_freq_10!B5</f>
        <v>221</v>
      </c>
      <c r="E90" s="17">
        <f>[33]PARS_nsy_stat_loop_freq_10!B5</f>
        <v>169</v>
      </c>
      <c r="F90" s="4">
        <f>[34]PARS_nsy_stat_stem_AT_GC_freq_1!B5</f>
        <v>85</v>
      </c>
      <c r="G90" s="17">
        <f>[35]PARS_nsy_stat_loop_AT_GC_freq_1!B5</f>
        <v>73</v>
      </c>
      <c r="H90" s="4">
        <f>[36]PARS_nsy_stat_stem_GC_AT_freq_1!B5</f>
        <v>110</v>
      </c>
      <c r="I90" s="4">
        <f>[37]PARS_nsy_stat_loop_GC_AT_freq_1!B5</f>
        <v>66</v>
      </c>
      <c r="J90" s="4"/>
      <c r="K90" s="60"/>
      <c r="L90" s="17" t="s">
        <v>22</v>
      </c>
      <c r="M90" s="17">
        <f>[38]PARS_nsy_stat_freq_10_chi_squar!B5</f>
        <v>236</v>
      </c>
      <c r="N90" s="17">
        <f>[38]PARS_nsy_stat_freq_10_chi_squar!C5</f>
        <v>193</v>
      </c>
      <c r="O90" s="18">
        <f>[38]PARS_nsy_stat_freq_10_chi_squar!D5</f>
        <v>0.55011655011655003</v>
      </c>
      <c r="P90" s="18">
        <f t="shared" si="90"/>
        <v>0.44988344988344986</v>
      </c>
      <c r="Q90" s="58">
        <f>[38]PARS_nsy_stat_freq_10_chi_squar!E6</f>
        <v>0</v>
      </c>
      <c r="R90" s="59">
        <f>[38]PARS_nsy_stat_freq_10_chi_squar!F6</f>
        <v>0</v>
      </c>
    </row>
    <row r="91" spans="1:18" x14ac:dyDescent="0.15">
      <c r="A91" s="17" t="s">
        <v>55</v>
      </c>
      <c r="B91" s="17">
        <f>[30]PARS_nsy_stat_SNPs_freq_10!B6</f>
        <v>380</v>
      </c>
      <c r="C91" s="17">
        <f>[31]PARS_nsy_stat_gene_freq_10!B6</f>
        <v>280</v>
      </c>
      <c r="D91" s="17">
        <f>[32]PARS_nsy_stat_stem_freq_10!B6</f>
        <v>233</v>
      </c>
      <c r="E91" s="17">
        <f>[33]PARS_nsy_stat_loop_freq_10!B6</f>
        <v>147</v>
      </c>
      <c r="F91" s="4">
        <f>[34]PARS_nsy_stat_stem_AT_GC_freq_1!B6</f>
        <v>112</v>
      </c>
      <c r="G91" s="17">
        <f>[35]PARS_nsy_stat_loop_AT_GC_freq_1!B6</f>
        <v>72</v>
      </c>
      <c r="H91" s="4">
        <f>[36]PARS_nsy_stat_stem_GC_AT_freq_1!B6</f>
        <v>91</v>
      </c>
      <c r="I91" s="4">
        <f>[37]PARS_nsy_stat_loop_GC_AT_freq_1!B6</f>
        <v>56</v>
      </c>
      <c r="J91" s="4"/>
      <c r="K91" s="60" t="s">
        <v>10</v>
      </c>
      <c r="L91" s="17" t="s">
        <v>21</v>
      </c>
      <c r="M91" s="17">
        <f>[38]PARS_nsy_stat_freq_10_chi_squar!B6</f>
        <v>136</v>
      </c>
      <c r="N91" s="17">
        <f>[38]PARS_nsy_stat_freq_10_chi_squar!C6</f>
        <v>211</v>
      </c>
      <c r="O91" s="18">
        <f>[38]PARS_nsy_stat_freq_10_chi_squar!D6</f>
        <v>0.39193083573486998</v>
      </c>
      <c r="P91" s="18">
        <f t="shared" si="90"/>
        <v>0.60806916426512969</v>
      </c>
      <c r="Q91" s="58">
        <f>[38]PARS_nsy_stat_freq_10_chi_squar!E7</f>
        <v>22.895013814152101</v>
      </c>
      <c r="R91" s="59">
        <f>[38]PARS_nsy_stat_freq_10_chi_squar!F7</f>
        <v>1.711E-6</v>
      </c>
    </row>
    <row r="92" spans="1:18" x14ac:dyDescent="0.15">
      <c r="A92" s="17" t="s">
        <v>56</v>
      </c>
      <c r="B92" s="17">
        <f>[30]PARS_nsy_stat_SNPs_freq_10!B7</f>
        <v>300</v>
      </c>
      <c r="C92" s="17">
        <f>[31]PARS_nsy_stat_gene_freq_10!B7</f>
        <v>243</v>
      </c>
      <c r="D92" s="17">
        <f>[32]PARS_nsy_stat_stem_freq_10!B7</f>
        <v>161</v>
      </c>
      <c r="E92" s="17">
        <f>[33]PARS_nsy_stat_loop_freq_10!B7</f>
        <v>139</v>
      </c>
      <c r="F92" s="4">
        <f>[34]PARS_nsy_stat_stem_AT_GC_freq_1!B7</f>
        <v>68</v>
      </c>
      <c r="G92" s="17">
        <f>[35]PARS_nsy_stat_loop_AT_GC_freq_1!B7</f>
        <v>49</v>
      </c>
      <c r="H92" s="4">
        <f>[36]PARS_nsy_stat_stem_GC_AT_freq_1!B7</f>
        <v>68</v>
      </c>
      <c r="I92" s="4">
        <f>[37]PARS_nsy_stat_loop_GC_AT_freq_1!B7</f>
        <v>68</v>
      </c>
      <c r="J92" s="4"/>
      <c r="K92" s="60"/>
      <c r="L92" s="17" t="s">
        <v>22</v>
      </c>
      <c r="M92" s="17">
        <f>[38]PARS_nsy_stat_freq_10_chi_squar!B7</f>
        <v>139</v>
      </c>
      <c r="N92" s="17">
        <f>[38]PARS_nsy_stat_freq_10_chi_squar!C7</f>
        <v>95</v>
      </c>
      <c r="O92" s="18">
        <f>[38]PARS_nsy_stat_freq_10_chi_squar!D7</f>
        <v>0.59401709401709402</v>
      </c>
      <c r="P92" s="18">
        <f t="shared" si="90"/>
        <v>0.40598290598290598</v>
      </c>
      <c r="Q92" s="58">
        <f>[38]PARS_nsy_stat_freq_10_chi_squar!E8</f>
        <v>0</v>
      </c>
      <c r="R92" s="59">
        <f>[38]PARS_nsy_stat_freq_10_chi_squar!F8</f>
        <v>0</v>
      </c>
    </row>
    <row r="93" spans="1:18" x14ac:dyDescent="0.15">
      <c r="A93" s="17" t="s">
        <v>57</v>
      </c>
      <c r="B93" s="17">
        <f>[30]PARS_nsy_stat_SNPs_freq_10!B8</f>
        <v>211</v>
      </c>
      <c r="C93" s="17">
        <f>[31]PARS_nsy_stat_gene_freq_10!B8</f>
        <v>168</v>
      </c>
      <c r="D93" s="17">
        <f>[32]PARS_nsy_stat_stem_freq_10!B8</f>
        <v>134</v>
      </c>
      <c r="E93" s="17">
        <f>[33]PARS_nsy_stat_loop_freq_10!B8</f>
        <v>77</v>
      </c>
      <c r="F93" s="4">
        <f>[34]PARS_nsy_stat_stem_AT_GC_freq_1!B8</f>
        <v>65</v>
      </c>
      <c r="G93" s="17">
        <f>[35]PARS_nsy_stat_loop_AT_GC_freq_1!B8</f>
        <v>30</v>
      </c>
      <c r="H93" s="4">
        <f>[36]PARS_nsy_stat_stem_GC_AT_freq_1!B8</f>
        <v>48</v>
      </c>
      <c r="I93" s="4">
        <f>[37]PARS_nsy_stat_loop_GC_AT_freq_1!B8</f>
        <v>33</v>
      </c>
      <c r="J93" s="4"/>
      <c r="K93" s="60" t="s">
        <v>11</v>
      </c>
      <c r="L93" s="17" t="s">
        <v>21</v>
      </c>
      <c r="M93" s="17">
        <f>[38]PARS_nsy_stat_freq_10_chi_squar!B8</f>
        <v>85</v>
      </c>
      <c r="N93" s="17">
        <f>[38]PARS_nsy_stat_freq_10_chi_squar!C8</f>
        <v>110</v>
      </c>
      <c r="O93" s="18">
        <f>[38]PARS_nsy_stat_freq_10_chi_squar!D8</f>
        <v>0.43589743589743601</v>
      </c>
      <c r="P93" s="18">
        <f t="shared" si="90"/>
        <v>0.5641025641025641</v>
      </c>
      <c r="Q93" s="58">
        <f>[38]PARS_nsy_stat_freq_10_chi_squar!E9</f>
        <v>2.5951235117067002</v>
      </c>
      <c r="R93" s="59">
        <f>[38]PARS_nsy_stat_freq_10_chi_squar!F9</f>
        <v>0.10718999999999999</v>
      </c>
    </row>
    <row r="94" spans="1:18" x14ac:dyDescent="0.15">
      <c r="A94" s="17" t="s">
        <v>58</v>
      </c>
      <c r="B94" s="17">
        <f>[30]PARS_nsy_stat_SNPs_freq_10!B9</f>
        <v>234</v>
      </c>
      <c r="C94" s="17">
        <f>[31]PARS_nsy_stat_gene_freq_10!B9</f>
        <v>192</v>
      </c>
      <c r="D94" s="17">
        <f>[32]PARS_nsy_stat_stem_freq_10!B9</f>
        <v>150</v>
      </c>
      <c r="E94" s="17">
        <f>[33]PARS_nsy_stat_loop_freq_10!B9</f>
        <v>84</v>
      </c>
      <c r="F94" s="4">
        <f>[34]PARS_nsy_stat_stem_AT_GC_freq_1!B9</f>
        <v>66</v>
      </c>
      <c r="G94" s="17">
        <f>[35]PARS_nsy_stat_loop_AT_GC_freq_1!B9</f>
        <v>35</v>
      </c>
      <c r="H94" s="4">
        <f>[36]PARS_nsy_stat_stem_GC_AT_freq_1!B9</f>
        <v>66</v>
      </c>
      <c r="I94" s="4">
        <f>[37]PARS_nsy_stat_loop_GC_AT_freq_1!B9</f>
        <v>35</v>
      </c>
      <c r="J94" s="4"/>
      <c r="K94" s="60"/>
      <c r="L94" s="17" t="s">
        <v>22</v>
      </c>
      <c r="M94" s="17">
        <f>[38]PARS_nsy_stat_freq_10_chi_squar!B9</f>
        <v>73</v>
      </c>
      <c r="N94" s="17">
        <f>[38]PARS_nsy_stat_freq_10_chi_squar!C9</f>
        <v>66</v>
      </c>
      <c r="O94" s="18">
        <f>[38]PARS_nsy_stat_freq_10_chi_squar!D9</f>
        <v>0.52517985611510798</v>
      </c>
      <c r="P94" s="18">
        <f t="shared" si="90"/>
        <v>0.47482014388489208</v>
      </c>
      <c r="Q94" s="58">
        <f>[38]PARS_nsy_stat_freq_10_chi_squar!E10</f>
        <v>0</v>
      </c>
      <c r="R94" s="59">
        <f>[38]PARS_nsy_stat_freq_10_chi_squar!F10</f>
        <v>0</v>
      </c>
    </row>
    <row r="95" spans="1:18" x14ac:dyDescent="0.15">
      <c r="A95" s="17" t="s">
        <v>59</v>
      </c>
      <c r="B95" s="17">
        <f>[30]PARS_nsy_stat_SNPs_freq_10!B10</f>
        <v>262</v>
      </c>
      <c r="C95" s="17">
        <f>[31]PARS_nsy_stat_gene_freq_10!B10</f>
        <v>209</v>
      </c>
      <c r="D95" s="17">
        <f>[32]PARS_nsy_stat_stem_freq_10!B10</f>
        <v>147</v>
      </c>
      <c r="E95" s="17">
        <f>[33]PARS_nsy_stat_loop_freq_10!B10</f>
        <v>115</v>
      </c>
      <c r="F95" s="4">
        <f>[34]PARS_nsy_stat_stem_AT_GC_freq_1!B10</f>
        <v>75</v>
      </c>
      <c r="G95" s="17">
        <f>[35]PARS_nsy_stat_loop_AT_GC_freq_1!B10</f>
        <v>52</v>
      </c>
      <c r="H95" s="4">
        <f>[36]PARS_nsy_stat_stem_GC_AT_freq_1!B10</f>
        <v>60</v>
      </c>
      <c r="I95" s="4">
        <f>[37]PARS_nsy_stat_loop_GC_AT_freq_1!B10</f>
        <v>57</v>
      </c>
      <c r="J95" s="4"/>
      <c r="K95" s="60" t="s">
        <v>12</v>
      </c>
      <c r="L95" s="17" t="s">
        <v>21</v>
      </c>
      <c r="M95" s="17">
        <f>[38]PARS_nsy_stat_freq_10_chi_squar!B10</f>
        <v>112</v>
      </c>
      <c r="N95" s="17">
        <f>[38]PARS_nsy_stat_freq_10_chi_squar!C10</f>
        <v>91</v>
      </c>
      <c r="O95" s="18">
        <f>[38]PARS_nsy_stat_freq_10_chi_squar!D10</f>
        <v>0.55172413793103403</v>
      </c>
      <c r="P95" s="18">
        <f t="shared" si="90"/>
        <v>0.44827586206896552</v>
      </c>
      <c r="Q95" s="58">
        <f>[38]PARS_nsy_stat_freq_10_chi_squar!E11</f>
        <v>3.69235025344469E-2</v>
      </c>
      <c r="R95" s="59">
        <f>[38]PARS_nsy_stat_freq_10_chi_squar!F11</f>
        <v>0.84762000000000004</v>
      </c>
    </row>
    <row r="96" spans="1:18" x14ac:dyDescent="0.15">
      <c r="A96" s="17" t="s">
        <v>60</v>
      </c>
      <c r="B96" s="17">
        <f>[30]PARS_nsy_stat_SNPs_freq_10!B11</f>
        <v>566</v>
      </c>
      <c r="C96" s="17">
        <f>[31]PARS_nsy_stat_gene_freq_10!B11</f>
        <v>408</v>
      </c>
      <c r="D96" s="17">
        <f>[32]PARS_nsy_stat_stem_freq_10!B11</f>
        <v>346</v>
      </c>
      <c r="E96" s="17">
        <f>[33]PARS_nsy_stat_loop_freq_10!B11</f>
        <v>220</v>
      </c>
      <c r="F96" s="4">
        <f>[34]PARS_nsy_stat_stem_AT_GC_freq_1!B11</f>
        <v>211</v>
      </c>
      <c r="G96" s="17">
        <f>[35]PARS_nsy_stat_loop_AT_GC_freq_1!B11</f>
        <v>116</v>
      </c>
      <c r="H96" s="4">
        <f>[36]PARS_nsy_stat_stem_GC_AT_freq_1!B11</f>
        <v>97</v>
      </c>
      <c r="I96" s="4">
        <f>[37]PARS_nsy_stat_loop_GC_AT_freq_1!B11</f>
        <v>86</v>
      </c>
      <c r="J96" s="4"/>
      <c r="K96" s="60"/>
      <c r="L96" s="17" t="s">
        <v>22</v>
      </c>
      <c r="M96" s="17">
        <f>[38]PARS_nsy_stat_freq_10_chi_squar!B11</f>
        <v>72</v>
      </c>
      <c r="N96" s="17">
        <f>[38]PARS_nsy_stat_freq_10_chi_squar!C11</f>
        <v>56</v>
      </c>
      <c r="O96" s="18">
        <f>[38]PARS_nsy_stat_freq_10_chi_squar!D11</f>
        <v>0.5625</v>
      </c>
      <c r="P96" s="18">
        <f t="shared" si="90"/>
        <v>0.4375</v>
      </c>
      <c r="Q96" s="58">
        <f>[38]PARS_nsy_stat_freq_10_chi_squar!E12</f>
        <v>0</v>
      </c>
      <c r="R96" s="59">
        <f>[38]PARS_nsy_stat_freq_10_chi_squar!F12</f>
        <v>0</v>
      </c>
    </row>
    <row r="97" spans="1:18" x14ac:dyDescent="0.15">
      <c r="A97" s="17" t="s">
        <v>61</v>
      </c>
      <c r="B97" s="51">
        <f t="shared" ref="B97:C97" si="91">SUM(B87:B96)</f>
        <v>15504</v>
      </c>
      <c r="C97" s="51">
        <f t="shared" si="91"/>
        <v>4936</v>
      </c>
      <c r="D97" s="17">
        <f>SUM(D87:D96)</f>
        <v>9312</v>
      </c>
      <c r="E97" s="17">
        <f t="shared" ref="E97:I97" si="92">SUM(E87:E96)</f>
        <v>6192</v>
      </c>
      <c r="F97" s="17">
        <f t="shared" si="92"/>
        <v>3083</v>
      </c>
      <c r="G97" s="17">
        <f t="shared" si="92"/>
        <v>2760</v>
      </c>
      <c r="H97" s="17">
        <f t="shared" si="92"/>
        <v>4864</v>
      </c>
      <c r="I97" s="17">
        <f t="shared" si="92"/>
        <v>2458</v>
      </c>
      <c r="J97" s="17"/>
      <c r="K97" s="60" t="s">
        <v>13</v>
      </c>
      <c r="L97" s="17" t="s">
        <v>21</v>
      </c>
      <c r="M97" s="17">
        <f>[38]PARS_nsy_stat_freq_10_chi_squar!B12</f>
        <v>68</v>
      </c>
      <c r="N97" s="17">
        <f>[38]PARS_nsy_stat_freq_10_chi_squar!C12</f>
        <v>68</v>
      </c>
      <c r="O97" s="18">
        <f>[38]PARS_nsy_stat_freq_10_chi_squar!D12</f>
        <v>0.5</v>
      </c>
      <c r="P97" s="18">
        <f t="shared" si="90"/>
        <v>0.5</v>
      </c>
      <c r="Q97" s="58">
        <f>[38]PARS_nsy_stat_freq_10_chi_squar!E13</f>
        <v>1.66799985389729</v>
      </c>
      <c r="R97" s="59">
        <f>[38]PARS_nsy_stat_freq_10_chi_squar!F13</f>
        <v>0.19653000000000001</v>
      </c>
    </row>
    <row r="98" spans="1:18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60"/>
      <c r="L98" s="17" t="s">
        <v>22</v>
      </c>
      <c r="M98" s="17">
        <f>[38]PARS_nsy_stat_freq_10_chi_squar!B13</f>
        <v>49</v>
      </c>
      <c r="N98" s="17">
        <f>[38]PARS_nsy_stat_freq_10_chi_squar!C13</f>
        <v>68</v>
      </c>
      <c r="O98" s="18">
        <f>[38]PARS_nsy_stat_freq_10_chi_squar!D13</f>
        <v>0.41880341880341898</v>
      </c>
      <c r="P98" s="18">
        <f t="shared" si="90"/>
        <v>0.58119658119658124</v>
      </c>
      <c r="Q98" s="58">
        <f>[38]PARS_nsy_stat_freq_10_chi_squar!E14</f>
        <v>0</v>
      </c>
      <c r="R98" s="59">
        <f>[38]PARS_nsy_stat_freq_10_chi_squar!F14</f>
        <v>0</v>
      </c>
    </row>
    <row r="99" spans="1:18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60" t="s">
        <v>14</v>
      </c>
      <c r="L99" s="17" t="s">
        <v>21</v>
      </c>
      <c r="M99" s="17">
        <f>[38]PARS_nsy_stat_freq_10_chi_squar!B14</f>
        <v>65</v>
      </c>
      <c r="N99" s="17">
        <f>[38]PARS_nsy_stat_freq_10_chi_squar!C14</f>
        <v>48</v>
      </c>
      <c r="O99" s="18">
        <f>[38]PARS_nsy_stat_freq_10_chi_squar!D14</f>
        <v>0.57522123893805299</v>
      </c>
      <c r="P99" s="18">
        <f t="shared" si="90"/>
        <v>0.4247787610619469</v>
      </c>
      <c r="Q99" s="58">
        <f>[38]PARS_nsy_stat_freq_10_chi_squar!E15</f>
        <v>1.5968469190018599</v>
      </c>
      <c r="R99" s="59">
        <f>[38]PARS_nsy_stat_freq_10_chi_squar!F15</f>
        <v>0.20635000000000001</v>
      </c>
    </row>
    <row r="100" spans="1:18" x14ac:dyDescent="0.15">
      <c r="A100" s="17" t="s">
        <v>62</v>
      </c>
      <c r="B100" s="17"/>
      <c r="C100" s="17"/>
      <c r="D100" s="17" t="s">
        <v>18</v>
      </c>
      <c r="E100" s="17" t="s">
        <v>35</v>
      </c>
      <c r="F100" s="17" t="s">
        <v>24</v>
      </c>
      <c r="G100" s="17" t="s">
        <v>25</v>
      </c>
      <c r="H100" s="17" t="s">
        <v>31</v>
      </c>
      <c r="I100" s="17" t="s">
        <v>32</v>
      </c>
      <c r="J100" s="17"/>
      <c r="K100" s="60"/>
      <c r="L100" s="17" t="s">
        <v>22</v>
      </c>
      <c r="M100" s="17">
        <f>[38]PARS_nsy_stat_freq_10_chi_squar!B15</f>
        <v>30</v>
      </c>
      <c r="N100" s="17">
        <f>[38]PARS_nsy_stat_freq_10_chi_squar!C15</f>
        <v>33</v>
      </c>
      <c r="O100" s="18">
        <f>[38]PARS_nsy_stat_freq_10_chi_squar!D15</f>
        <v>0.476190476190476</v>
      </c>
      <c r="P100" s="18">
        <f t="shared" si="90"/>
        <v>0.52380952380952384</v>
      </c>
      <c r="Q100" s="58">
        <f>[38]PARS_nsy_stat_freq_10_chi_squar!E16</f>
        <v>0</v>
      </c>
      <c r="R100" s="59">
        <f>[38]PARS_nsy_stat_freq_10_chi_squar!F16</f>
        <v>0</v>
      </c>
    </row>
    <row r="101" spans="1:18" x14ac:dyDescent="0.15">
      <c r="A101" s="17" t="s">
        <v>52</v>
      </c>
      <c r="B101" s="51">
        <f t="shared" ref="B101:C101" si="93">B87/B$97</f>
        <v>0.72194272445820429</v>
      </c>
      <c r="C101" s="51">
        <f t="shared" si="93"/>
        <v>0.37175850891410051</v>
      </c>
      <c r="D101" s="25">
        <f t="shared" ref="D101:E101" si="94">D87/D$97</f>
        <v>0.72207903780068727</v>
      </c>
      <c r="E101" s="25">
        <f t="shared" si="94"/>
        <v>0.7217377260981912</v>
      </c>
      <c r="F101" s="17">
        <f>F87/F$97</f>
        <v>0.65747648394421021</v>
      </c>
      <c r="G101" s="21">
        <f t="shared" ref="G101:I101" si="95">G87/G$97</f>
        <v>0.70942028985507244</v>
      </c>
      <c r="H101" s="21">
        <f t="shared" si="95"/>
        <v>0.75740131578947367</v>
      </c>
      <c r="I101" s="21">
        <f t="shared" si="95"/>
        <v>0.71969080553295361</v>
      </c>
      <c r="J101" s="17"/>
      <c r="K101" s="60" t="s">
        <v>15</v>
      </c>
      <c r="L101" s="17" t="s">
        <v>21</v>
      </c>
      <c r="M101" s="17">
        <f>[38]PARS_nsy_stat_freq_10_chi_squar!B16</f>
        <v>66</v>
      </c>
      <c r="N101" s="17">
        <f>[38]PARS_nsy_stat_freq_10_chi_squar!C16</f>
        <v>66</v>
      </c>
      <c r="O101" s="18">
        <f>[38]PARS_nsy_stat_freq_10_chi_squar!D16</f>
        <v>0.5</v>
      </c>
      <c r="P101" s="18">
        <f t="shared" si="90"/>
        <v>0.5</v>
      </c>
      <c r="Q101" s="58">
        <f>[38]PARS_nsy_stat_freq_10_chi_squar!E17</f>
        <v>0</v>
      </c>
      <c r="R101" s="59">
        <f>[38]PARS_nsy_stat_freq_10_chi_squar!F17</f>
        <v>1</v>
      </c>
    </row>
    <row r="102" spans="1:18" x14ac:dyDescent="0.15">
      <c r="A102" s="17" t="s">
        <v>38</v>
      </c>
      <c r="B102" s="51">
        <f t="shared" ref="B102:C102" si="96">B88/B$97</f>
        <v>8.3784829721362225E-2</v>
      </c>
      <c r="C102" s="51">
        <f t="shared" si="96"/>
        <v>0.16207455429497569</v>
      </c>
      <c r="D102" s="25">
        <f t="shared" ref="D102:E102" si="97">D88/D$97</f>
        <v>8.548109965635739E-2</v>
      </c>
      <c r="E102" s="25">
        <f t="shared" si="97"/>
        <v>8.1233850129198967E-2</v>
      </c>
      <c r="F102" s="21">
        <f t="shared" ref="F102:I102" si="98">F88/F$97</f>
        <v>7.719753486863444E-2</v>
      </c>
      <c r="G102" s="21">
        <f t="shared" si="98"/>
        <v>8.5507246376811591E-2</v>
      </c>
      <c r="H102" s="21">
        <f t="shared" si="98"/>
        <v>8.8199013157894732E-2</v>
      </c>
      <c r="I102" s="21">
        <f t="shared" si="98"/>
        <v>7.8519121236777872E-2</v>
      </c>
      <c r="J102" s="17"/>
      <c r="K102" s="60"/>
      <c r="L102" s="17" t="s">
        <v>22</v>
      </c>
      <c r="M102" s="17">
        <f>[38]PARS_nsy_stat_freq_10_chi_squar!B17</f>
        <v>35</v>
      </c>
      <c r="N102" s="17">
        <f>[38]PARS_nsy_stat_freq_10_chi_squar!C17</f>
        <v>35</v>
      </c>
      <c r="O102" s="18">
        <f>[38]PARS_nsy_stat_freq_10_chi_squar!D17</f>
        <v>0.5</v>
      </c>
      <c r="P102" s="18">
        <f t="shared" si="90"/>
        <v>0.5</v>
      </c>
      <c r="Q102" s="58">
        <f>[38]PARS_nsy_stat_freq_10_chi_squar!E18</f>
        <v>0</v>
      </c>
      <c r="R102" s="59">
        <f>[38]PARS_nsy_stat_freq_10_chi_squar!F18</f>
        <v>0</v>
      </c>
    </row>
    <row r="103" spans="1:18" x14ac:dyDescent="0.15">
      <c r="A103" s="17" t="s">
        <v>53</v>
      </c>
      <c r="B103" s="51">
        <f t="shared" ref="B103:C103" si="99">B89/B$97</f>
        <v>4.3150154798761609E-2</v>
      </c>
      <c r="C103" s="51">
        <f t="shared" si="99"/>
        <v>9.6636952998379252E-2</v>
      </c>
      <c r="D103" s="25">
        <f t="shared" ref="D103:E103" si="100">D89/D$97</f>
        <v>4.29553264604811E-2</v>
      </c>
      <c r="E103" s="25">
        <f t="shared" si="100"/>
        <v>4.3443152454780365E-2</v>
      </c>
      <c r="F103" s="21">
        <f t="shared" ref="F103:I103" si="101">F89/F$97</f>
        <v>4.4112877067791115E-2</v>
      </c>
      <c r="G103" s="21">
        <f t="shared" si="101"/>
        <v>5.0362318840579713E-2</v>
      </c>
      <c r="H103" s="21">
        <f t="shared" si="101"/>
        <v>4.3379934210526314E-2</v>
      </c>
      <c r="I103" s="21">
        <f t="shared" si="101"/>
        <v>3.8649308380797394E-2</v>
      </c>
      <c r="J103" s="17"/>
      <c r="K103" s="60" t="s">
        <v>16</v>
      </c>
      <c r="L103" s="17" t="s">
        <v>21</v>
      </c>
      <c r="M103" s="17">
        <f>[38]PARS_nsy_stat_freq_10_chi_squar!B18</f>
        <v>75</v>
      </c>
      <c r="N103" s="17">
        <f>[38]PARS_nsy_stat_freq_10_chi_squar!C18</f>
        <v>60</v>
      </c>
      <c r="O103" s="18">
        <f>[38]PARS_nsy_stat_freq_10_chi_squar!D18</f>
        <v>0.55555555555555602</v>
      </c>
      <c r="P103" s="18">
        <f t="shared" si="90"/>
        <v>0.44444444444444442</v>
      </c>
      <c r="Q103" s="58">
        <f>[38]PARS_nsy_stat_freq_10_chi_squar!E19</f>
        <v>1.48868888448459</v>
      </c>
      <c r="R103" s="59">
        <f>[38]PARS_nsy_stat_freq_10_chi_squar!F19</f>
        <v>0.22242000000000001</v>
      </c>
    </row>
    <row r="104" spans="1:18" x14ac:dyDescent="0.15">
      <c r="A104" s="17" t="s">
        <v>54</v>
      </c>
      <c r="B104" s="51">
        <f t="shared" ref="B104:C104" si="102">B90/B$97</f>
        <v>2.5154798761609906E-2</v>
      </c>
      <c r="C104" s="51">
        <f t="shared" si="102"/>
        <v>6.5640194489465148E-2</v>
      </c>
      <c r="D104" s="25">
        <f t="shared" ref="D104:E104" si="103">D90/D$97</f>
        <v>2.3732817869415807E-2</v>
      </c>
      <c r="E104" s="25">
        <f t="shared" si="103"/>
        <v>2.7293281653746771E-2</v>
      </c>
      <c r="F104" s="21">
        <f t="shared" ref="F104:I104" si="104">F90/F$97</f>
        <v>2.7570548167369445E-2</v>
      </c>
      <c r="G104" s="21">
        <f t="shared" si="104"/>
        <v>2.6449275362318839E-2</v>
      </c>
      <c r="H104" s="21">
        <f t="shared" si="104"/>
        <v>2.2615131578947369E-2</v>
      </c>
      <c r="I104" s="21">
        <f t="shared" si="104"/>
        <v>2.6851098454027666E-2</v>
      </c>
      <c r="J104" s="17"/>
      <c r="K104" s="60"/>
      <c r="L104" s="17" t="s">
        <v>22</v>
      </c>
      <c r="M104" s="17">
        <f>[38]PARS_nsy_stat_freq_10_chi_squar!B19</f>
        <v>52</v>
      </c>
      <c r="N104" s="17">
        <f>[38]PARS_nsy_stat_freq_10_chi_squar!C19</f>
        <v>57</v>
      </c>
      <c r="O104" s="18">
        <f>[38]PARS_nsy_stat_freq_10_chi_squar!D19</f>
        <v>0.47706422018348599</v>
      </c>
      <c r="P104" s="18">
        <f t="shared" si="90"/>
        <v>0.52293577981651373</v>
      </c>
      <c r="Q104" s="58">
        <f>[38]PARS_nsy_stat_freq_10_chi_squar!E20</f>
        <v>0</v>
      </c>
      <c r="R104" s="59">
        <f>[38]PARS_nsy_stat_freq_10_chi_squar!F20</f>
        <v>0</v>
      </c>
    </row>
    <row r="105" spans="1:18" x14ac:dyDescent="0.15">
      <c r="A105" s="17" t="s">
        <v>55</v>
      </c>
      <c r="B105" s="51">
        <f t="shared" ref="B105:C105" si="105">B91/B$97</f>
        <v>2.4509803921568627E-2</v>
      </c>
      <c r="C105" s="51">
        <f t="shared" si="105"/>
        <v>5.6726094003241488E-2</v>
      </c>
      <c r="D105" s="25">
        <f t="shared" ref="D105:E105" si="106">D91/D$97</f>
        <v>2.5021477663230242E-2</v>
      </c>
      <c r="E105" s="25">
        <f t="shared" si="106"/>
        <v>2.374031007751938E-2</v>
      </c>
      <c r="F105" s="21">
        <f t="shared" ref="F105:I105" si="107">F91/F$97</f>
        <v>3.6328251702886796E-2</v>
      </c>
      <c r="G105" s="21">
        <f t="shared" si="107"/>
        <v>2.6086956521739129E-2</v>
      </c>
      <c r="H105" s="21">
        <f t="shared" si="107"/>
        <v>1.8708881578947369E-2</v>
      </c>
      <c r="I105" s="21">
        <f t="shared" si="107"/>
        <v>2.2782750203417412E-2</v>
      </c>
      <c r="J105" s="17"/>
      <c r="K105" s="60" t="s">
        <v>17</v>
      </c>
      <c r="L105" s="17" t="s">
        <v>21</v>
      </c>
      <c r="M105" s="17">
        <f>[38]PARS_nsy_stat_freq_10_chi_squar!B20</f>
        <v>211</v>
      </c>
      <c r="N105" s="17">
        <f>[38]PARS_nsy_stat_freq_10_chi_squar!C20</f>
        <v>97</v>
      </c>
      <c r="O105" s="18">
        <f>[38]PARS_nsy_stat_freq_10_chi_squar!D20</f>
        <v>0.68506493506493504</v>
      </c>
      <c r="P105" s="18">
        <f t="shared" si="90"/>
        <v>0.31493506493506496</v>
      </c>
      <c r="Q105" s="58">
        <f>[38]PARS_nsy_stat_freq_10_chi_squar!E21</f>
        <v>6.5104619629829301</v>
      </c>
      <c r="R105" s="59">
        <f>[38]PARS_nsy_stat_freq_10_chi_squar!F21</f>
        <v>1.0723999999999999E-2</v>
      </c>
    </row>
    <row r="106" spans="1:18" x14ac:dyDescent="0.15">
      <c r="A106" s="17" t="s">
        <v>56</v>
      </c>
      <c r="B106" s="51">
        <f t="shared" ref="B106:C106" si="108">B92/B$97</f>
        <v>1.9349845201238391E-2</v>
      </c>
      <c r="C106" s="51">
        <f t="shared" si="108"/>
        <v>4.9230145867098868E-2</v>
      </c>
      <c r="D106" s="25">
        <f t="shared" ref="D106:E106" si="109">D92/D$97</f>
        <v>1.7289518900343644E-2</v>
      </c>
      <c r="E106" s="25">
        <f t="shared" si="109"/>
        <v>2.2448320413436692E-2</v>
      </c>
      <c r="F106" s="21">
        <f t="shared" ref="F106:I106" si="110">F92/F$97</f>
        <v>2.2056438533895557E-2</v>
      </c>
      <c r="G106" s="21">
        <f t="shared" si="110"/>
        <v>1.7753623188405798E-2</v>
      </c>
      <c r="H106" s="21">
        <f t="shared" si="110"/>
        <v>1.3980263157894737E-2</v>
      </c>
      <c r="I106" s="21">
        <f t="shared" si="110"/>
        <v>2.7664768104149716E-2</v>
      </c>
      <c r="J106" s="17"/>
      <c r="K106" s="60"/>
      <c r="L106" s="17" t="s">
        <v>22</v>
      </c>
      <c r="M106" s="17">
        <f>[38]PARS_nsy_stat_freq_10_chi_squar!B21</f>
        <v>116</v>
      </c>
      <c r="N106" s="17">
        <f>[38]PARS_nsy_stat_freq_10_chi_squar!C21</f>
        <v>86</v>
      </c>
      <c r="O106" s="18">
        <f>[38]PARS_nsy_stat_freq_10_chi_squar!D21</f>
        <v>0.57425742574257399</v>
      </c>
      <c r="P106" s="18">
        <f t="shared" si="90"/>
        <v>0.42574257425742573</v>
      </c>
      <c r="Q106" s="58">
        <f>[38]PARS_nsy_stat_freq_10_chi_squar!E22</f>
        <v>0</v>
      </c>
      <c r="R106" s="59">
        <f>[38]PARS_nsy_stat_freq_10_chi_squar!F22</f>
        <v>0</v>
      </c>
    </row>
    <row r="107" spans="1:18" x14ac:dyDescent="0.15">
      <c r="A107" s="17" t="s">
        <v>57</v>
      </c>
      <c r="B107" s="51">
        <f t="shared" ref="B107:C107" si="111">B93/B$97</f>
        <v>1.3609391124871001E-2</v>
      </c>
      <c r="C107" s="51">
        <f t="shared" si="111"/>
        <v>3.4035656401944892E-2</v>
      </c>
      <c r="D107" s="25">
        <f t="shared" ref="D107:E107" si="112">D93/D$97</f>
        <v>1.4390034364261168E-2</v>
      </c>
      <c r="E107" s="25">
        <f t="shared" si="112"/>
        <v>1.2435400516795866E-2</v>
      </c>
      <c r="F107" s="21">
        <f t="shared" ref="F107:I107" si="113">F93/F$97</f>
        <v>2.1083360363282518E-2</v>
      </c>
      <c r="G107" s="21">
        <f t="shared" si="113"/>
        <v>1.0869565217391304E-2</v>
      </c>
      <c r="H107" s="21">
        <f t="shared" si="113"/>
        <v>9.8684210526315784E-3</v>
      </c>
      <c r="I107" s="21">
        <f t="shared" si="113"/>
        <v>1.3425549227013833E-2</v>
      </c>
      <c r="J107" s="17"/>
      <c r="K107" s="17"/>
      <c r="L107" s="17"/>
      <c r="M107" s="17"/>
      <c r="N107" s="17"/>
      <c r="O107" s="18"/>
      <c r="P107" s="18"/>
    </row>
    <row r="108" spans="1:18" x14ac:dyDescent="0.15">
      <c r="A108" s="17" t="s">
        <v>58</v>
      </c>
      <c r="B108" s="51">
        <f t="shared" ref="B108:C108" si="114">B94/B$97</f>
        <v>1.5092879256965945E-2</v>
      </c>
      <c r="C108" s="51">
        <f t="shared" si="114"/>
        <v>3.8897893030794169E-2</v>
      </c>
      <c r="D108" s="25">
        <f t="shared" ref="D108:E108" si="115">D94/D$97</f>
        <v>1.6108247422680411E-2</v>
      </c>
      <c r="E108" s="25">
        <f t="shared" si="115"/>
        <v>1.3565891472868217E-2</v>
      </c>
      <c r="F108" s="21">
        <f t="shared" ref="F108:I108" si="116">F94/F$97</f>
        <v>2.1407719753486862E-2</v>
      </c>
      <c r="G108" s="21">
        <f t="shared" si="116"/>
        <v>1.2681159420289856E-2</v>
      </c>
      <c r="H108" s="21">
        <f t="shared" si="116"/>
        <v>1.3569078947368422E-2</v>
      </c>
      <c r="I108" s="21">
        <f t="shared" si="116"/>
        <v>1.4239218877135883E-2</v>
      </c>
      <c r="J108" s="17"/>
      <c r="K108" s="17"/>
      <c r="L108" s="17"/>
      <c r="M108" s="17"/>
      <c r="N108" s="17"/>
      <c r="O108" s="18"/>
      <c r="P108" s="18"/>
    </row>
    <row r="109" spans="1:18" x14ac:dyDescent="0.15">
      <c r="A109" s="17" t="s">
        <v>59</v>
      </c>
      <c r="B109" s="51">
        <f t="shared" ref="B109:C109" si="117">B95/B$97</f>
        <v>1.6898864809081527E-2</v>
      </c>
      <c r="C109" s="51">
        <f t="shared" si="117"/>
        <v>4.2341977309562399E-2</v>
      </c>
      <c r="D109" s="25">
        <f t="shared" ref="D109:E109" si="118">D95/D$97</f>
        <v>1.5786082474226804E-2</v>
      </c>
      <c r="E109" s="25">
        <f t="shared" si="118"/>
        <v>1.857235142118863E-2</v>
      </c>
      <c r="F109" s="21">
        <f t="shared" ref="F109:I109" si="119">F95/F$97</f>
        <v>2.4326954265325981E-2</v>
      </c>
      <c r="G109" s="21">
        <f t="shared" si="119"/>
        <v>1.8840579710144929E-2</v>
      </c>
      <c r="H109" s="21">
        <f t="shared" si="119"/>
        <v>1.2335526315789474E-2</v>
      </c>
      <c r="I109" s="21">
        <f t="shared" si="119"/>
        <v>2.3189585028478437E-2</v>
      </c>
      <c r="J109" s="17"/>
      <c r="K109" s="17"/>
      <c r="L109" s="17"/>
      <c r="M109" s="17"/>
      <c r="N109" s="17"/>
      <c r="O109" s="18"/>
      <c r="P109" s="18"/>
    </row>
    <row r="110" spans="1:18" x14ac:dyDescent="0.15">
      <c r="A110" s="17" t="s">
        <v>60</v>
      </c>
      <c r="B110" s="51">
        <f t="shared" ref="B110:C110" si="120">B96/B$97</f>
        <v>3.6506707946336432E-2</v>
      </c>
      <c r="C110" s="51">
        <f t="shared" si="120"/>
        <v>8.2658022690437608E-2</v>
      </c>
      <c r="D110" s="25">
        <f t="shared" ref="D110:E110" si="121">D96/D$97</f>
        <v>3.7156357388316151E-2</v>
      </c>
      <c r="E110" s="25">
        <f t="shared" si="121"/>
        <v>3.55297157622739E-2</v>
      </c>
      <c r="F110" s="21">
        <f t="shared" ref="F110:I110" si="122">F96/F$97</f>
        <v>6.8439831333117096E-2</v>
      </c>
      <c r="G110" s="21">
        <f t="shared" si="122"/>
        <v>4.2028985507246375E-2</v>
      </c>
      <c r="H110" s="21">
        <f t="shared" si="122"/>
        <v>1.9942434210526317E-2</v>
      </c>
      <c r="I110" s="21">
        <f t="shared" si="122"/>
        <v>3.4987794955248168E-2</v>
      </c>
      <c r="J110" s="17"/>
      <c r="K110" s="17"/>
      <c r="L110" s="17"/>
      <c r="M110" s="17"/>
      <c r="N110" s="17"/>
      <c r="O110" s="18"/>
      <c r="P110" s="18"/>
    </row>
    <row r="113" spans="1:18" x14ac:dyDescent="0.15">
      <c r="A113" s="23" t="s">
        <v>343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5"/>
      <c r="P113" s="45"/>
      <c r="Q113" s="45"/>
      <c r="R113" s="46"/>
    </row>
    <row r="114" spans="1:18" x14ac:dyDescent="0.15">
      <c r="A114" s="44" t="s">
        <v>23</v>
      </c>
      <c r="B114" s="44" t="s">
        <v>5</v>
      </c>
      <c r="C114" s="44" t="s">
        <v>6</v>
      </c>
      <c r="D114" s="44" t="s">
        <v>18</v>
      </c>
      <c r="E114" s="44" t="s">
        <v>29</v>
      </c>
      <c r="F114" s="44" t="s">
        <v>24</v>
      </c>
      <c r="G114" s="44" t="s">
        <v>25</v>
      </c>
      <c r="H114" s="44" t="s">
        <v>31</v>
      </c>
      <c r="I114" s="44" t="s">
        <v>32</v>
      </c>
      <c r="J114" s="44"/>
      <c r="K114" s="44" t="s">
        <v>23</v>
      </c>
      <c r="L114" s="44" t="s">
        <v>19</v>
      </c>
      <c r="M114" s="44" t="s">
        <v>27</v>
      </c>
      <c r="N114" s="44" t="s">
        <v>26</v>
      </c>
      <c r="O114" s="45" t="s">
        <v>28</v>
      </c>
      <c r="P114" s="44" t="s">
        <v>37</v>
      </c>
      <c r="Q114" s="45" t="s">
        <v>34</v>
      </c>
      <c r="R114" s="46" t="s">
        <v>20</v>
      </c>
    </row>
    <row r="115" spans="1:18" x14ac:dyDescent="0.15">
      <c r="A115" s="44" t="s">
        <v>52</v>
      </c>
      <c r="B115" s="44">
        <f>[39]PARS_4D_stat_SNPs_freq_10!B2</f>
        <v>2817</v>
      </c>
      <c r="C115" s="44">
        <f>[40]PARS_4D_stat_gene_freq_10!B2</f>
        <v>1329</v>
      </c>
      <c r="D115" s="44">
        <f>[41]PARS_4D_stat_stem_freq_10!B2</f>
        <v>1792</v>
      </c>
      <c r="E115" s="44">
        <f>[42]PARS_4D_stat_loop_freq_10!B2</f>
        <v>1025</v>
      </c>
      <c r="F115" s="4">
        <f>[43]PARS_4D_stat_stem_AT_GC_freq_10!B2</f>
        <v>770</v>
      </c>
      <c r="G115" s="44">
        <f>[44]PARS_4D_stat_loop_AT_GC_freq_10!B2</f>
        <v>530</v>
      </c>
      <c r="H115" s="4">
        <f>[45]PARS_4D_stat_stem_GC_AT_freq_10!B2</f>
        <v>756</v>
      </c>
      <c r="I115" s="4">
        <f>[46]PARS_4D_stat_loop_GC_AT_freq_10!B2</f>
        <v>341</v>
      </c>
      <c r="J115" s="4"/>
      <c r="K115" s="60" t="s">
        <v>8</v>
      </c>
      <c r="L115" s="44" t="s">
        <v>21</v>
      </c>
      <c r="M115" s="44">
        <f>[47]PARS_4D_stat_freq_10_chi_square!B2</f>
        <v>770</v>
      </c>
      <c r="N115" s="44">
        <f>[47]PARS_4D_stat_freq_10_chi_square!C2</f>
        <v>756</v>
      </c>
      <c r="O115" s="45">
        <f>[47]PARS_4D_stat_freq_10_chi_square!D2</f>
        <v>0.50458715596330295</v>
      </c>
      <c r="P115" s="49">
        <f>N115/(M115+N115)</f>
        <v>0.49541284403669728</v>
      </c>
      <c r="Q115" s="58">
        <f>[47]PARS_4D_stat_freq_10_chi_square!E3</f>
        <v>24.121017072540699</v>
      </c>
      <c r="R115" s="59">
        <f>[47]PARS_4D_stat_freq_10_chi_square!F3</f>
        <v>9.0467999999999997E-7</v>
      </c>
    </row>
    <row r="116" spans="1:18" x14ac:dyDescent="0.15">
      <c r="A116" s="44" t="s">
        <v>38</v>
      </c>
      <c r="B116" s="44">
        <f>[39]PARS_4D_stat_SNPs_freq_10!B3</f>
        <v>583</v>
      </c>
      <c r="C116" s="44">
        <f>[40]PARS_4D_stat_gene_freq_10!B3</f>
        <v>460</v>
      </c>
      <c r="D116" s="44">
        <f>[41]PARS_4D_stat_stem_freq_10!B3</f>
        <v>371</v>
      </c>
      <c r="E116" s="44">
        <f>[42]PARS_4D_stat_loop_freq_10!B3</f>
        <v>212</v>
      </c>
      <c r="F116" s="4">
        <f>[43]PARS_4D_stat_stem_AT_GC_freq_10!B3</f>
        <v>174</v>
      </c>
      <c r="G116" s="44">
        <f>[44]PARS_4D_stat_loop_AT_GC_freq_10!B3</f>
        <v>114</v>
      </c>
      <c r="H116" s="4">
        <f>[45]PARS_4D_stat_stem_GC_AT_freq_10!B3</f>
        <v>149</v>
      </c>
      <c r="I116" s="4">
        <f>[46]PARS_4D_stat_loop_GC_AT_freq_10!B3</f>
        <v>60</v>
      </c>
      <c r="J116" s="4"/>
      <c r="K116" s="60"/>
      <c r="L116" s="44" t="s">
        <v>22</v>
      </c>
      <c r="M116" s="44">
        <f>[47]PARS_4D_stat_freq_10_chi_square!B3</f>
        <v>530</v>
      </c>
      <c r="N116" s="44">
        <f>[47]PARS_4D_stat_freq_10_chi_square!C3</f>
        <v>341</v>
      </c>
      <c r="O116" s="45">
        <f>[47]PARS_4D_stat_freq_10_chi_square!D3</f>
        <v>0.60849598163031005</v>
      </c>
      <c r="P116" s="49">
        <f t="shared" ref="P116:P134" si="123">N116/(M116+N116)</f>
        <v>0.39150401836969001</v>
      </c>
      <c r="Q116" s="58"/>
      <c r="R116" s="59"/>
    </row>
    <row r="117" spans="1:18" x14ac:dyDescent="0.15">
      <c r="A117" s="44" t="s">
        <v>53</v>
      </c>
      <c r="B117" s="44">
        <f>[39]PARS_4D_stat_SNPs_freq_10!B4</f>
        <v>353</v>
      </c>
      <c r="C117" s="44">
        <f>[40]PARS_4D_stat_gene_freq_10!B4</f>
        <v>294</v>
      </c>
      <c r="D117" s="44">
        <f>[41]PARS_4D_stat_stem_freq_10!B4</f>
        <v>214</v>
      </c>
      <c r="E117" s="44">
        <f>[42]PARS_4D_stat_loop_freq_10!B4</f>
        <v>139</v>
      </c>
      <c r="F117" s="4">
        <f>[43]PARS_4D_stat_stem_AT_GC_freq_10!B4</f>
        <v>99</v>
      </c>
      <c r="G117" s="44">
        <f>[44]PARS_4D_stat_loop_AT_GC_freq_10!B4</f>
        <v>73</v>
      </c>
      <c r="H117" s="4">
        <f>[45]PARS_4D_stat_stem_GC_AT_freq_10!B4</f>
        <v>91</v>
      </c>
      <c r="I117" s="4">
        <f>[46]PARS_4D_stat_loop_GC_AT_freq_10!B4</f>
        <v>45</v>
      </c>
      <c r="J117" s="4"/>
      <c r="K117" s="60" t="s">
        <v>9</v>
      </c>
      <c r="L117" s="44" t="s">
        <v>21</v>
      </c>
      <c r="M117" s="44">
        <f>[47]PARS_4D_stat_freq_10_chi_square!B4</f>
        <v>174</v>
      </c>
      <c r="N117" s="44">
        <f>[47]PARS_4D_stat_freq_10_chi_square!C4</f>
        <v>149</v>
      </c>
      <c r="O117" s="45">
        <f>[47]PARS_4D_stat_freq_10_chi_square!D4</f>
        <v>0.538699690402477</v>
      </c>
      <c r="P117" s="49">
        <f t="shared" si="123"/>
        <v>0.46130030959752322</v>
      </c>
      <c r="Q117" s="58">
        <f>[47]PARS_4D_stat_freq_10_chi_square!E5</f>
        <v>6.2953205129514904</v>
      </c>
      <c r="R117" s="59">
        <f>[47]PARS_4D_stat_freq_10_chi_square!F5</f>
        <v>1.2106E-2</v>
      </c>
    </row>
    <row r="118" spans="1:18" x14ac:dyDescent="0.15">
      <c r="A118" s="44" t="s">
        <v>54</v>
      </c>
      <c r="B118" s="44">
        <f>[39]PARS_4D_stat_SNPs_freq_10!B5</f>
        <v>284</v>
      </c>
      <c r="C118" s="44">
        <f>[40]PARS_4D_stat_gene_freq_10!B5</f>
        <v>237</v>
      </c>
      <c r="D118" s="44">
        <f>[41]PARS_4D_stat_stem_freq_10!B5</f>
        <v>179</v>
      </c>
      <c r="E118" s="44">
        <f>[42]PARS_4D_stat_loop_freq_10!B5</f>
        <v>105</v>
      </c>
      <c r="F118" s="4">
        <f>[43]PARS_4D_stat_stem_AT_GC_freq_10!B5</f>
        <v>88</v>
      </c>
      <c r="G118" s="44">
        <f>[44]PARS_4D_stat_loop_AT_GC_freq_10!B5</f>
        <v>66</v>
      </c>
      <c r="H118" s="4">
        <f>[45]PARS_4D_stat_stem_GC_AT_freq_10!B5</f>
        <v>75</v>
      </c>
      <c r="I118" s="4">
        <f>[46]PARS_4D_stat_loop_GC_AT_freq_10!B5</f>
        <v>31</v>
      </c>
      <c r="J118" s="4"/>
      <c r="K118" s="60"/>
      <c r="L118" s="44" t="s">
        <v>22</v>
      </c>
      <c r="M118" s="44">
        <f>[47]PARS_4D_stat_freq_10_chi_square!B5</f>
        <v>114</v>
      </c>
      <c r="N118" s="44">
        <f>[47]PARS_4D_stat_freq_10_chi_square!C5</f>
        <v>60</v>
      </c>
      <c r="O118" s="45">
        <f>[47]PARS_4D_stat_freq_10_chi_square!D5</f>
        <v>0.65517241379310298</v>
      </c>
      <c r="P118" s="49">
        <f t="shared" si="123"/>
        <v>0.34482758620689657</v>
      </c>
      <c r="Q118" s="58"/>
      <c r="R118" s="59"/>
    </row>
    <row r="119" spans="1:18" x14ac:dyDescent="0.15">
      <c r="A119" s="44" t="s">
        <v>55</v>
      </c>
      <c r="B119" s="44">
        <f>[39]PARS_4D_stat_SNPs_freq_10!B6</f>
        <v>285</v>
      </c>
      <c r="C119" s="44">
        <f>[40]PARS_4D_stat_gene_freq_10!B6</f>
        <v>233</v>
      </c>
      <c r="D119" s="44">
        <f>[41]PARS_4D_stat_stem_freq_10!B6</f>
        <v>199</v>
      </c>
      <c r="E119" s="44">
        <f>[42]PARS_4D_stat_loop_freq_10!B6</f>
        <v>86</v>
      </c>
      <c r="F119" s="4">
        <f>[43]PARS_4D_stat_stem_AT_GC_freq_10!B6</f>
        <v>101</v>
      </c>
      <c r="G119" s="44">
        <f>[44]PARS_4D_stat_loop_AT_GC_freq_10!B6</f>
        <v>42</v>
      </c>
      <c r="H119" s="4">
        <f>[45]PARS_4D_stat_stem_GC_AT_freq_10!B6</f>
        <v>71</v>
      </c>
      <c r="I119" s="4">
        <f>[46]PARS_4D_stat_loop_GC_AT_freq_10!B6</f>
        <v>32</v>
      </c>
      <c r="J119" s="4"/>
      <c r="K119" s="60" t="s">
        <v>10</v>
      </c>
      <c r="L119" s="44" t="s">
        <v>21</v>
      </c>
      <c r="M119" s="44">
        <f>[47]PARS_4D_stat_freq_10_chi_square!B6</f>
        <v>99</v>
      </c>
      <c r="N119" s="44">
        <f>[47]PARS_4D_stat_freq_10_chi_square!C6</f>
        <v>91</v>
      </c>
      <c r="O119" s="45">
        <f>[47]PARS_4D_stat_freq_10_chi_square!D6</f>
        <v>0.52105263157894699</v>
      </c>
      <c r="P119" s="49">
        <f t="shared" si="123"/>
        <v>0.47894736842105262</v>
      </c>
      <c r="Q119" s="58">
        <f>[47]PARS_4D_stat_freq_10_chi_square!E7</f>
        <v>2.8115278399806698</v>
      </c>
      <c r="R119" s="59">
        <f>[47]PARS_4D_stat_freq_10_chi_square!F7</f>
        <v>9.3589000000000006E-2</v>
      </c>
    </row>
    <row r="120" spans="1:18" x14ac:dyDescent="0.15">
      <c r="A120" s="44" t="s">
        <v>56</v>
      </c>
      <c r="B120" s="44">
        <f>[39]PARS_4D_stat_SNPs_freq_10!B7</f>
        <v>241</v>
      </c>
      <c r="C120" s="44">
        <f>[40]PARS_4D_stat_gene_freq_10!B7</f>
        <v>204</v>
      </c>
      <c r="D120" s="44">
        <f>[41]PARS_4D_stat_stem_freq_10!B7</f>
        <v>160</v>
      </c>
      <c r="E120" s="44">
        <f>[42]PARS_4D_stat_loop_freq_10!B7</f>
        <v>81</v>
      </c>
      <c r="F120" s="4">
        <f>[43]PARS_4D_stat_stem_AT_GC_freq_10!B7</f>
        <v>92</v>
      </c>
      <c r="G120" s="44">
        <f>[44]PARS_4D_stat_loop_AT_GC_freq_10!B7</f>
        <v>43</v>
      </c>
      <c r="H120" s="4">
        <f>[45]PARS_4D_stat_stem_GC_AT_freq_10!B7</f>
        <v>46</v>
      </c>
      <c r="I120" s="4">
        <f>[46]PARS_4D_stat_loop_GC_AT_freq_10!B7</f>
        <v>30</v>
      </c>
      <c r="J120" s="4"/>
      <c r="K120" s="60"/>
      <c r="L120" s="44" t="s">
        <v>22</v>
      </c>
      <c r="M120" s="44">
        <f>[47]PARS_4D_stat_freq_10_chi_square!B7</f>
        <v>73</v>
      </c>
      <c r="N120" s="44">
        <f>[47]PARS_4D_stat_freq_10_chi_square!C7</f>
        <v>45</v>
      </c>
      <c r="O120" s="45">
        <f>[47]PARS_4D_stat_freq_10_chi_square!D7</f>
        <v>0.61864406779660996</v>
      </c>
      <c r="P120" s="49">
        <f t="shared" si="123"/>
        <v>0.38135593220338981</v>
      </c>
      <c r="Q120" s="58"/>
      <c r="R120" s="59"/>
    </row>
    <row r="121" spans="1:18" x14ac:dyDescent="0.15">
      <c r="A121" s="44" t="s">
        <v>57</v>
      </c>
      <c r="B121" s="44">
        <f>[39]PARS_4D_stat_SNPs_freq_10!B8</f>
        <v>203</v>
      </c>
      <c r="C121" s="44">
        <f>[40]PARS_4D_stat_gene_freq_10!B8</f>
        <v>180</v>
      </c>
      <c r="D121" s="44">
        <f>[41]PARS_4D_stat_stem_freq_10!B8</f>
        <v>133</v>
      </c>
      <c r="E121" s="44">
        <f>[42]PARS_4D_stat_loop_freq_10!B8</f>
        <v>70</v>
      </c>
      <c r="F121" s="4">
        <f>[43]PARS_4D_stat_stem_AT_GC_freq_10!B8</f>
        <v>64</v>
      </c>
      <c r="G121" s="44">
        <f>[44]PARS_4D_stat_loop_AT_GC_freq_10!B8</f>
        <v>22</v>
      </c>
      <c r="H121" s="4">
        <f>[45]PARS_4D_stat_stem_GC_AT_freq_10!B8</f>
        <v>54</v>
      </c>
      <c r="I121" s="4">
        <f>[46]PARS_4D_stat_loop_GC_AT_freq_10!B8</f>
        <v>39</v>
      </c>
      <c r="J121" s="4"/>
      <c r="K121" s="60" t="s">
        <v>11</v>
      </c>
      <c r="L121" s="44" t="s">
        <v>21</v>
      </c>
      <c r="M121" s="44">
        <f>[47]PARS_4D_stat_freq_10_chi_square!B8</f>
        <v>88</v>
      </c>
      <c r="N121" s="44">
        <f>[47]PARS_4D_stat_freq_10_chi_square!C8</f>
        <v>75</v>
      </c>
      <c r="O121" s="45">
        <f>[47]PARS_4D_stat_freq_10_chi_square!D8</f>
        <v>0.53987730061349704</v>
      </c>
      <c r="P121" s="49">
        <f t="shared" si="123"/>
        <v>0.46012269938650308</v>
      </c>
      <c r="Q121" s="58">
        <f>[47]PARS_4D_stat_freq_10_chi_square!E9</f>
        <v>4.9736535739473702</v>
      </c>
      <c r="R121" s="59">
        <f>[47]PARS_4D_stat_freq_10_chi_square!F9</f>
        <v>2.5735999999999998E-2</v>
      </c>
    </row>
    <row r="122" spans="1:18" x14ac:dyDescent="0.15">
      <c r="A122" s="44" t="s">
        <v>58</v>
      </c>
      <c r="B122" s="44">
        <f>[39]PARS_4D_stat_SNPs_freq_10!B9</f>
        <v>235</v>
      </c>
      <c r="C122" s="44">
        <f>[40]PARS_4D_stat_gene_freq_10!B9</f>
        <v>195</v>
      </c>
      <c r="D122" s="44">
        <f>[41]PARS_4D_stat_stem_freq_10!B9</f>
        <v>159</v>
      </c>
      <c r="E122" s="44">
        <f>[42]PARS_4D_stat_loop_freq_10!B9</f>
        <v>76</v>
      </c>
      <c r="F122" s="4">
        <f>[43]PARS_4D_stat_stem_AT_GC_freq_10!B9</f>
        <v>78</v>
      </c>
      <c r="G122" s="44">
        <f>[44]PARS_4D_stat_loop_AT_GC_freq_10!B9</f>
        <v>32</v>
      </c>
      <c r="H122" s="4">
        <f>[45]PARS_4D_stat_stem_GC_AT_freq_10!B9</f>
        <v>60</v>
      </c>
      <c r="I122" s="4">
        <f>[46]PARS_4D_stat_loop_GC_AT_freq_10!B9</f>
        <v>32</v>
      </c>
      <c r="J122" s="4"/>
      <c r="K122" s="60"/>
      <c r="L122" s="44" t="s">
        <v>22</v>
      </c>
      <c r="M122" s="44">
        <f>[47]PARS_4D_stat_freq_10_chi_square!B9</f>
        <v>66</v>
      </c>
      <c r="N122" s="44">
        <f>[47]PARS_4D_stat_freq_10_chi_square!C9</f>
        <v>31</v>
      </c>
      <c r="O122" s="45">
        <f>[47]PARS_4D_stat_freq_10_chi_square!D9</f>
        <v>0.68041237113402098</v>
      </c>
      <c r="P122" s="49">
        <f t="shared" si="123"/>
        <v>0.31958762886597936</v>
      </c>
      <c r="Q122" s="58"/>
      <c r="R122" s="59"/>
    </row>
    <row r="123" spans="1:18" x14ac:dyDescent="0.15">
      <c r="A123" s="44" t="s">
        <v>59</v>
      </c>
      <c r="B123" s="44">
        <f>[39]PARS_4D_stat_SNPs_freq_10!B10</f>
        <v>305</v>
      </c>
      <c r="C123" s="44">
        <f>[40]PARS_4D_stat_gene_freq_10!B10</f>
        <v>258</v>
      </c>
      <c r="D123" s="44">
        <f>[41]PARS_4D_stat_stem_freq_10!B10</f>
        <v>183</v>
      </c>
      <c r="E123" s="44">
        <f>[42]PARS_4D_stat_loop_freq_10!B10</f>
        <v>122</v>
      </c>
      <c r="F123" s="4">
        <f>[43]PARS_4D_stat_stem_AT_GC_freq_10!B10</f>
        <v>104</v>
      </c>
      <c r="G123" s="44">
        <f>[44]PARS_4D_stat_loop_AT_GC_freq_10!B10</f>
        <v>60</v>
      </c>
      <c r="H123" s="4">
        <f>[45]PARS_4D_stat_stem_GC_AT_freq_10!B10</f>
        <v>65</v>
      </c>
      <c r="I123" s="4">
        <f>[46]PARS_4D_stat_loop_GC_AT_freq_10!B10</f>
        <v>47</v>
      </c>
      <c r="J123" s="4"/>
      <c r="K123" s="60" t="s">
        <v>12</v>
      </c>
      <c r="L123" s="44" t="s">
        <v>21</v>
      </c>
      <c r="M123" s="44">
        <f>[47]PARS_4D_stat_freq_10_chi_square!B10</f>
        <v>101</v>
      </c>
      <c r="N123" s="44">
        <f>[47]PARS_4D_stat_freq_10_chi_square!C10</f>
        <v>71</v>
      </c>
      <c r="O123" s="45">
        <f>[47]PARS_4D_stat_freq_10_chi_square!D10</f>
        <v>0.587209302325581</v>
      </c>
      <c r="P123" s="49">
        <f t="shared" si="123"/>
        <v>0.41279069767441862</v>
      </c>
      <c r="Q123" s="58">
        <f>[47]PARS_4D_stat_freq_10_chi_square!E11</f>
        <v>8.2012810619719503E-2</v>
      </c>
      <c r="R123" s="59">
        <f>[47]PARS_4D_stat_freq_10_chi_square!F11</f>
        <v>0.77459</v>
      </c>
    </row>
    <row r="124" spans="1:18" x14ac:dyDescent="0.15">
      <c r="A124" s="44" t="s">
        <v>60</v>
      </c>
      <c r="B124" s="44">
        <f>[39]PARS_4D_stat_SNPs_freq_10!B11</f>
        <v>780</v>
      </c>
      <c r="C124" s="44">
        <f>[40]PARS_4D_stat_gene_freq_10!B11</f>
        <v>568</v>
      </c>
      <c r="D124" s="44">
        <f>[41]PARS_4D_stat_stem_freq_10!B11</f>
        <v>493</v>
      </c>
      <c r="E124" s="44">
        <f>[42]PARS_4D_stat_loop_freq_10!B11</f>
        <v>287</v>
      </c>
      <c r="F124" s="4">
        <f>[43]PARS_4D_stat_stem_AT_GC_freq_10!B11</f>
        <v>301</v>
      </c>
      <c r="G124" s="44">
        <f>[44]PARS_4D_stat_loop_AT_GC_freq_10!B11</f>
        <v>157</v>
      </c>
      <c r="H124" s="4">
        <f>[45]PARS_4D_stat_stem_GC_AT_freq_10!B11</f>
        <v>161</v>
      </c>
      <c r="I124" s="4">
        <f>[46]PARS_4D_stat_loop_GC_AT_freq_10!B11</f>
        <v>103</v>
      </c>
      <c r="J124" s="4"/>
      <c r="K124" s="60"/>
      <c r="L124" s="44" t="s">
        <v>22</v>
      </c>
      <c r="M124" s="44">
        <f>[47]PARS_4D_stat_freq_10_chi_square!B11</f>
        <v>42</v>
      </c>
      <c r="N124" s="44">
        <f>[47]PARS_4D_stat_freq_10_chi_square!C11</f>
        <v>32</v>
      </c>
      <c r="O124" s="45">
        <f>[47]PARS_4D_stat_freq_10_chi_square!D11</f>
        <v>0.56756756756756799</v>
      </c>
      <c r="P124" s="49">
        <f t="shared" si="123"/>
        <v>0.43243243243243246</v>
      </c>
      <c r="Q124" s="58"/>
      <c r="R124" s="59"/>
    </row>
    <row r="125" spans="1:18" x14ac:dyDescent="0.15">
      <c r="A125" s="44" t="s">
        <v>61</v>
      </c>
      <c r="B125" s="51">
        <f t="shared" ref="B125:C125" si="124">SUM(B115:B124)</f>
        <v>6086</v>
      </c>
      <c r="C125" s="51">
        <f t="shared" si="124"/>
        <v>3958</v>
      </c>
      <c r="D125" s="44">
        <f>SUM(D115:D124)</f>
        <v>3883</v>
      </c>
      <c r="E125" s="44">
        <f t="shared" ref="E125:I125" si="125">SUM(E115:E124)</f>
        <v>2203</v>
      </c>
      <c r="F125" s="44">
        <f t="shared" si="125"/>
        <v>1871</v>
      </c>
      <c r="G125" s="44">
        <f t="shared" si="125"/>
        <v>1139</v>
      </c>
      <c r="H125" s="44">
        <f t="shared" si="125"/>
        <v>1528</v>
      </c>
      <c r="I125" s="44">
        <f t="shared" si="125"/>
        <v>760</v>
      </c>
      <c r="J125" s="44"/>
      <c r="K125" s="60" t="s">
        <v>13</v>
      </c>
      <c r="L125" s="44" t="s">
        <v>21</v>
      </c>
      <c r="M125" s="44">
        <f>[47]PARS_4D_stat_freq_10_chi_square!B12</f>
        <v>92</v>
      </c>
      <c r="N125" s="44">
        <f>[47]PARS_4D_stat_freq_10_chi_square!C12</f>
        <v>46</v>
      </c>
      <c r="O125" s="45">
        <f>[47]PARS_4D_stat_freq_10_chi_square!D12</f>
        <v>0.66666666666666696</v>
      </c>
      <c r="P125" s="49">
        <f t="shared" si="123"/>
        <v>0.33333333333333331</v>
      </c>
      <c r="Q125" s="58">
        <f>[47]PARS_4D_stat_freq_10_chi_square!E13</f>
        <v>1.24837957399842</v>
      </c>
      <c r="R125" s="59">
        <f>[47]PARS_4D_stat_freq_10_chi_square!F13</f>
        <v>0.26385999999999998</v>
      </c>
    </row>
    <row r="126" spans="1:18" x14ac:dyDescent="0.1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60"/>
      <c r="L126" s="44" t="s">
        <v>22</v>
      </c>
      <c r="M126" s="44">
        <f>[47]PARS_4D_stat_freq_10_chi_square!B13</f>
        <v>43</v>
      </c>
      <c r="N126" s="44">
        <f>[47]PARS_4D_stat_freq_10_chi_square!C13</f>
        <v>30</v>
      </c>
      <c r="O126" s="45">
        <f>[47]PARS_4D_stat_freq_10_chi_square!D13</f>
        <v>0.58904109589041098</v>
      </c>
      <c r="P126" s="49">
        <f t="shared" si="123"/>
        <v>0.41095890410958902</v>
      </c>
      <c r="Q126" s="58"/>
      <c r="R126" s="59"/>
    </row>
    <row r="127" spans="1:18" x14ac:dyDescent="0.1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60" t="s">
        <v>14</v>
      </c>
      <c r="L127" s="44" t="s">
        <v>21</v>
      </c>
      <c r="M127" s="44">
        <f>[47]PARS_4D_stat_freq_10_chi_square!B14</f>
        <v>64</v>
      </c>
      <c r="N127" s="44">
        <f>[47]PARS_4D_stat_freq_10_chi_square!C14</f>
        <v>54</v>
      </c>
      <c r="O127" s="45">
        <f>[47]PARS_4D_stat_freq_10_chi_square!D14</f>
        <v>0.54237288135593198</v>
      </c>
      <c r="P127" s="49">
        <f t="shared" si="123"/>
        <v>0.4576271186440678</v>
      </c>
      <c r="Q127" s="58">
        <f>[47]PARS_4D_stat_freq_10_chi_square!E15</f>
        <v>5.3195546733307397</v>
      </c>
      <c r="R127" s="59">
        <f>[47]PARS_4D_stat_freq_10_chi_square!F15</f>
        <v>2.1087000000000002E-2</v>
      </c>
    </row>
    <row r="128" spans="1:18" x14ac:dyDescent="0.15">
      <c r="A128" s="44" t="s">
        <v>23</v>
      </c>
      <c r="B128" s="44"/>
      <c r="C128" s="44"/>
      <c r="D128" s="44" t="s">
        <v>18</v>
      </c>
      <c r="E128" s="44" t="s">
        <v>29</v>
      </c>
      <c r="F128" s="44" t="s">
        <v>24</v>
      </c>
      <c r="G128" s="44" t="s">
        <v>25</v>
      </c>
      <c r="H128" s="44" t="s">
        <v>31</v>
      </c>
      <c r="I128" s="44" t="s">
        <v>32</v>
      </c>
      <c r="J128" s="44"/>
      <c r="K128" s="60"/>
      <c r="L128" s="44" t="s">
        <v>22</v>
      </c>
      <c r="M128" s="44">
        <f>[47]PARS_4D_stat_freq_10_chi_square!B15</f>
        <v>22</v>
      </c>
      <c r="N128" s="44">
        <f>[47]PARS_4D_stat_freq_10_chi_square!C15</f>
        <v>39</v>
      </c>
      <c r="O128" s="45">
        <f>[47]PARS_4D_stat_freq_10_chi_square!D15</f>
        <v>0.36065573770491799</v>
      </c>
      <c r="P128" s="49">
        <f t="shared" si="123"/>
        <v>0.63934426229508201</v>
      </c>
      <c r="Q128" s="58"/>
      <c r="R128" s="59"/>
    </row>
    <row r="129" spans="1:18" x14ac:dyDescent="0.15">
      <c r="A129" s="44" t="s">
        <v>52</v>
      </c>
      <c r="B129" s="51">
        <f t="shared" ref="B129:C129" si="126">B115/B$125</f>
        <v>0.46286559316464015</v>
      </c>
      <c r="C129" s="51">
        <f t="shared" si="126"/>
        <v>0.33577564426478018</v>
      </c>
      <c r="D129" s="44">
        <f>D115/D$125</f>
        <v>0.46149884110224054</v>
      </c>
      <c r="E129" s="44">
        <f>E115/E$125</f>
        <v>0.46527462551066728</v>
      </c>
      <c r="F129" s="44">
        <f t="shared" ref="F129:I129" si="127">F115/F$125</f>
        <v>0.41154462854088725</v>
      </c>
      <c r="G129" s="44">
        <f t="shared" si="127"/>
        <v>0.46532045654082527</v>
      </c>
      <c r="H129" s="44">
        <f t="shared" si="127"/>
        <v>0.49476439790575916</v>
      </c>
      <c r="I129" s="44">
        <f t="shared" si="127"/>
        <v>0.4486842105263158</v>
      </c>
      <c r="J129" s="44"/>
      <c r="K129" s="60" t="s">
        <v>15</v>
      </c>
      <c r="L129" s="44" t="s">
        <v>21</v>
      </c>
      <c r="M129" s="44">
        <f>[47]PARS_4D_stat_freq_10_chi_square!B16</f>
        <v>78</v>
      </c>
      <c r="N129" s="44">
        <f>[47]PARS_4D_stat_freq_10_chi_square!C16</f>
        <v>60</v>
      </c>
      <c r="O129" s="45">
        <f>[47]PARS_4D_stat_freq_10_chi_square!D16</f>
        <v>0.565217391304348</v>
      </c>
      <c r="P129" s="49">
        <f t="shared" si="123"/>
        <v>0.43478260869565216</v>
      </c>
      <c r="Q129" s="58">
        <f>[47]PARS_4D_stat_freq_10_chi_square!E17</f>
        <v>0.74981955662485</v>
      </c>
      <c r="R129" s="59">
        <f>[47]PARS_4D_stat_freq_10_chi_square!F17</f>
        <v>0.38652999999999998</v>
      </c>
    </row>
    <row r="130" spans="1:18" x14ac:dyDescent="0.15">
      <c r="A130" s="44" t="s">
        <v>38</v>
      </c>
      <c r="B130" s="51">
        <f t="shared" ref="B130:C130" si="128">B116/B$125</f>
        <v>9.5793624712454811E-2</v>
      </c>
      <c r="C130" s="51">
        <f t="shared" si="128"/>
        <v>0.11622031328954018</v>
      </c>
      <c r="D130" s="44">
        <f t="shared" ref="D130:E138" si="129">D116/D$125</f>
        <v>9.5544681946948234E-2</v>
      </c>
      <c r="E130" s="44">
        <f>E116/E$125</f>
        <v>9.6232410349523373E-2</v>
      </c>
      <c r="F130" s="44">
        <f t="shared" ref="F130:I130" si="130">F116/F$125</f>
        <v>9.2998396579369327E-2</v>
      </c>
      <c r="G130" s="44">
        <f t="shared" si="130"/>
        <v>0.10008779631255488</v>
      </c>
      <c r="H130" s="44">
        <f t="shared" si="130"/>
        <v>9.7513089005235601E-2</v>
      </c>
      <c r="I130" s="44">
        <f t="shared" si="130"/>
        <v>7.8947368421052627E-2</v>
      </c>
      <c r="J130" s="44"/>
      <c r="K130" s="60"/>
      <c r="L130" s="44" t="s">
        <v>22</v>
      </c>
      <c r="M130" s="44">
        <f>[47]PARS_4D_stat_freq_10_chi_square!B17</f>
        <v>32</v>
      </c>
      <c r="N130" s="44">
        <f>[47]PARS_4D_stat_freq_10_chi_square!C17</f>
        <v>32</v>
      </c>
      <c r="O130" s="45">
        <f>[47]PARS_4D_stat_freq_10_chi_square!D17</f>
        <v>0.5</v>
      </c>
      <c r="P130" s="49">
        <f t="shared" si="123"/>
        <v>0.5</v>
      </c>
      <c r="Q130" s="58"/>
      <c r="R130" s="59"/>
    </row>
    <row r="131" spans="1:18" x14ac:dyDescent="0.15">
      <c r="A131" s="44" t="s">
        <v>53</v>
      </c>
      <c r="B131" s="51">
        <f t="shared" ref="B131:C131" si="131">B117/B$125</f>
        <v>5.8001971738416036E-2</v>
      </c>
      <c r="C131" s="51">
        <f t="shared" si="131"/>
        <v>7.4279939363314812E-2</v>
      </c>
      <c r="D131" s="44">
        <f t="shared" si="129"/>
        <v>5.5112026783414883E-2</v>
      </c>
      <c r="E131" s="44">
        <f t="shared" si="129"/>
        <v>6.3095778483885617E-2</v>
      </c>
      <c r="F131" s="44">
        <f t="shared" ref="F131:I131" si="132">F117/F$125</f>
        <v>5.2912880812399789E-2</v>
      </c>
      <c r="G131" s="44">
        <f t="shared" si="132"/>
        <v>6.4091308165057065E-2</v>
      </c>
      <c r="H131" s="44">
        <f t="shared" si="132"/>
        <v>5.9554973821989529E-2</v>
      </c>
      <c r="I131" s="44">
        <f t="shared" si="132"/>
        <v>5.921052631578947E-2</v>
      </c>
      <c r="J131" s="44"/>
      <c r="K131" s="60" t="s">
        <v>16</v>
      </c>
      <c r="L131" s="44" t="s">
        <v>21</v>
      </c>
      <c r="M131" s="44">
        <f>[47]PARS_4D_stat_freq_10_chi_square!B18</f>
        <v>104</v>
      </c>
      <c r="N131" s="44">
        <f>[47]PARS_4D_stat_freq_10_chi_square!C18</f>
        <v>65</v>
      </c>
      <c r="O131" s="45">
        <f>[47]PARS_4D_stat_freq_10_chi_square!D18</f>
        <v>0.61538461538461497</v>
      </c>
      <c r="P131" s="49">
        <f t="shared" si="123"/>
        <v>0.38461538461538464</v>
      </c>
      <c r="Q131" s="58">
        <f>[47]PARS_4D_stat_freq_10_chi_square!E19</f>
        <v>0.81113028753785499</v>
      </c>
      <c r="R131" s="59">
        <f>[47]PARS_4D_stat_freq_10_chi_square!F19</f>
        <v>0.36779000000000001</v>
      </c>
    </row>
    <row r="132" spans="1:18" x14ac:dyDescent="0.15">
      <c r="A132" s="44" t="s">
        <v>54</v>
      </c>
      <c r="B132" s="51">
        <f t="shared" ref="B132:C132" si="133">B118/B$125</f>
        <v>4.6664475846204402E-2</v>
      </c>
      <c r="C132" s="51">
        <f t="shared" si="133"/>
        <v>5.9878726629610912E-2</v>
      </c>
      <c r="D132" s="44">
        <f t="shared" si="129"/>
        <v>4.6098377543136747E-2</v>
      </c>
      <c r="E132" s="44">
        <f t="shared" si="129"/>
        <v>4.766227871084884E-2</v>
      </c>
      <c r="F132" s="44">
        <f t="shared" ref="F132:I132" si="134">F118/F$125</f>
        <v>4.7033671833244257E-2</v>
      </c>
      <c r="G132" s="44">
        <f t="shared" si="134"/>
        <v>5.7945566286215978E-2</v>
      </c>
      <c r="H132" s="44">
        <f t="shared" si="134"/>
        <v>4.9083769633507857E-2</v>
      </c>
      <c r="I132" s="44">
        <f t="shared" si="134"/>
        <v>4.0789473684210528E-2</v>
      </c>
      <c r="J132" s="44"/>
      <c r="K132" s="60"/>
      <c r="L132" s="44" t="s">
        <v>22</v>
      </c>
      <c r="M132" s="44">
        <f>[47]PARS_4D_stat_freq_10_chi_square!B19</f>
        <v>60</v>
      </c>
      <c r="N132" s="44">
        <f>[47]PARS_4D_stat_freq_10_chi_square!C19</f>
        <v>47</v>
      </c>
      <c r="O132" s="45">
        <f>[47]PARS_4D_stat_freq_10_chi_square!D19</f>
        <v>0.56074766355140204</v>
      </c>
      <c r="P132" s="49">
        <f t="shared" si="123"/>
        <v>0.43925233644859812</v>
      </c>
      <c r="Q132" s="58"/>
      <c r="R132" s="59"/>
    </row>
    <row r="133" spans="1:18" x14ac:dyDescent="0.15">
      <c r="A133" s="44" t="s">
        <v>55</v>
      </c>
      <c r="B133" s="51">
        <f t="shared" ref="B133:C133" si="135">B119/B$125</f>
        <v>4.6828787380874135E-2</v>
      </c>
      <c r="C133" s="51">
        <f t="shared" si="135"/>
        <v>5.8868115209701873E-2</v>
      </c>
      <c r="D133" s="44">
        <f t="shared" si="129"/>
        <v>5.1249034251867116E-2</v>
      </c>
      <c r="E133" s="44">
        <f t="shared" si="129"/>
        <v>3.9037675896504767E-2</v>
      </c>
      <c r="F133" s="44">
        <f t="shared" ref="F133:I133" si="136">F119/F$125</f>
        <v>5.3981827899518976E-2</v>
      </c>
      <c r="G133" s="44">
        <f t="shared" si="136"/>
        <v>3.6874451273046532E-2</v>
      </c>
      <c r="H133" s="44">
        <f t="shared" si="136"/>
        <v>4.6465968586387435E-2</v>
      </c>
      <c r="I133" s="44">
        <f t="shared" si="136"/>
        <v>4.2105263157894736E-2</v>
      </c>
      <c r="J133" s="44"/>
      <c r="K133" s="60" t="s">
        <v>17</v>
      </c>
      <c r="L133" s="44" t="s">
        <v>21</v>
      </c>
      <c r="M133" s="44">
        <f>[47]PARS_4D_stat_freq_10_chi_square!B20</f>
        <v>301</v>
      </c>
      <c r="N133" s="44">
        <f>[47]PARS_4D_stat_freq_10_chi_square!C20</f>
        <v>161</v>
      </c>
      <c r="O133" s="45">
        <f>[47]PARS_4D_stat_freq_10_chi_square!D20</f>
        <v>0.65151515151515105</v>
      </c>
      <c r="P133" s="49">
        <f t="shared" si="123"/>
        <v>0.34848484848484851</v>
      </c>
      <c r="Q133" s="58">
        <f>[47]PARS_4D_stat_freq_10_chi_square!E21</f>
        <v>1.6298782207823499</v>
      </c>
      <c r="R133" s="59">
        <f>[47]PARS_4D_stat_freq_10_chi_square!F21</f>
        <v>0.20172000000000001</v>
      </c>
    </row>
    <row r="134" spans="1:18" x14ac:dyDescent="0.15">
      <c r="A134" s="44" t="s">
        <v>56</v>
      </c>
      <c r="B134" s="51">
        <f t="shared" ref="B134:C134" si="137">B120/B$125</f>
        <v>3.9599079855405853E-2</v>
      </c>
      <c r="C134" s="51">
        <f t="shared" si="137"/>
        <v>5.1541182415361292E-2</v>
      </c>
      <c r="D134" s="44">
        <f t="shared" si="129"/>
        <v>4.1205253669842908E-2</v>
      </c>
      <c r="E134" s="44">
        <f t="shared" si="129"/>
        <v>3.6768043576940537E-2</v>
      </c>
      <c r="F134" s="44">
        <f t="shared" ref="F134:I134" si="138">F120/F$125</f>
        <v>4.9171566007482632E-2</v>
      </c>
      <c r="G134" s="44">
        <f t="shared" si="138"/>
        <v>3.7752414398595259E-2</v>
      </c>
      <c r="H134" s="44">
        <f t="shared" si="138"/>
        <v>3.0104712041884817E-2</v>
      </c>
      <c r="I134" s="44">
        <f t="shared" si="138"/>
        <v>3.9473684210526314E-2</v>
      </c>
      <c r="J134" s="44"/>
      <c r="K134" s="60"/>
      <c r="L134" s="44" t="s">
        <v>22</v>
      </c>
      <c r="M134" s="44">
        <f>[47]PARS_4D_stat_freq_10_chi_square!B21</f>
        <v>157</v>
      </c>
      <c r="N134" s="44">
        <f>[47]PARS_4D_stat_freq_10_chi_square!C21</f>
        <v>103</v>
      </c>
      <c r="O134" s="45">
        <f>[47]PARS_4D_stat_freq_10_chi_square!D21</f>
        <v>0.60384615384615403</v>
      </c>
      <c r="P134" s="49">
        <f t="shared" si="123"/>
        <v>0.39615384615384613</v>
      </c>
      <c r="Q134" s="58"/>
      <c r="R134" s="59"/>
    </row>
    <row r="135" spans="1:18" x14ac:dyDescent="0.15">
      <c r="A135" s="44" t="s">
        <v>57</v>
      </c>
      <c r="B135" s="51">
        <f t="shared" ref="B135:C135" si="139">B121/B$125</f>
        <v>3.3355241537955965E-2</v>
      </c>
      <c r="C135" s="51">
        <f t="shared" si="139"/>
        <v>4.5477513895907026E-2</v>
      </c>
      <c r="D135" s="44">
        <f t="shared" si="129"/>
        <v>3.4251867113056916E-2</v>
      </c>
      <c r="E135" s="44">
        <f t="shared" si="129"/>
        <v>3.1774852473899232E-2</v>
      </c>
      <c r="F135" s="44">
        <f t="shared" ref="F135:I135" si="140">F121/F$125</f>
        <v>3.4206306787814E-2</v>
      </c>
      <c r="G135" s="44">
        <f t="shared" si="140"/>
        <v>1.9315188762071993E-2</v>
      </c>
      <c r="H135" s="44">
        <f t="shared" si="140"/>
        <v>3.5340314136125657E-2</v>
      </c>
      <c r="I135" s="44">
        <f t="shared" si="140"/>
        <v>5.131578947368421E-2</v>
      </c>
      <c r="J135" s="44"/>
      <c r="K135" s="44"/>
      <c r="L135" s="44"/>
      <c r="M135" s="44"/>
      <c r="N135" s="44"/>
      <c r="O135" s="45"/>
      <c r="P135" s="45"/>
      <c r="Q135" s="45"/>
      <c r="R135" s="46"/>
    </row>
    <row r="136" spans="1:18" x14ac:dyDescent="0.15">
      <c r="A136" s="44" t="s">
        <v>58</v>
      </c>
      <c r="B136" s="51">
        <f t="shared" ref="B136:C136" si="141">B122/B$125</f>
        <v>3.8613210647387444E-2</v>
      </c>
      <c r="C136" s="51">
        <f t="shared" si="141"/>
        <v>4.9267306720565944E-2</v>
      </c>
      <c r="D136" s="44">
        <f t="shared" si="129"/>
        <v>4.0947720834406384E-2</v>
      </c>
      <c r="E136" s="44">
        <f t="shared" si="129"/>
        <v>3.4498411257376307E-2</v>
      </c>
      <c r="F136" s="44">
        <f t="shared" ref="F136:I136" si="142">F122/F$125</f>
        <v>4.168893639764832E-2</v>
      </c>
      <c r="G136" s="44">
        <f t="shared" si="142"/>
        <v>2.8094820017559263E-2</v>
      </c>
      <c r="H136" s="44">
        <f t="shared" si="142"/>
        <v>3.9267015706806283E-2</v>
      </c>
      <c r="I136" s="44">
        <f t="shared" si="142"/>
        <v>4.2105263157894736E-2</v>
      </c>
      <c r="J136" s="44"/>
      <c r="K136" s="44"/>
      <c r="L136" s="44"/>
      <c r="M136" s="44"/>
      <c r="N136" s="44"/>
      <c r="O136" s="45"/>
      <c r="P136" s="45"/>
      <c r="Q136" s="45"/>
      <c r="R136" s="46"/>
    </row>
    <row r="137" spans="1:18" x14ac:dyDescent="0.15">
      <c r="A137" s="44" t="s">
        <v>59</v>
      </c>
      <c r="B137" s="51">
        <f t="shared" ref="B137:C137" si="143">B123/B$125</f>
        <v>5.0115018074268811E-2</v>
      </c>
      <c r="C137" s="51">
        <f t="shared" si="143"/>
        <v>6.5184436584133407E-2</v>
      </c>
      <c r="D137" s="44">
        <f t="shared" si="129"/>
        <v>4.7128508884882819E-2</v>
      </c>
      <c r="E137" s="44">
        <f t="shared" si="129"/>
        <v>5.5379028597367229E-2</v>
      </c>
      <c r="F137" s="44">
        <f t="shared" ref="F137:I137" si="144">F123/F$125</f>
        <v>5.5585248530197758E-2</v>
      </c>
      <c r="G137" s="44">
        <f t="shared" si="144"/>
        <v>5.2677787532923619E-2</v>
      </c>
      <c r="H137" s="44">
        <f t="shared" si="144"/>
        <v>4.253926701570681E-2</v>
      </c>
      <c r="I137" s="44">
        <f t="shared" si="144"/>
        <v>6.1842105263157893E-2</v>
      </c>
      <c r="J137" s="44"/>
      <c r="K137" s="44"/>
      <c r="L137" s="44"/>
      <c r="M137" s="44"/>
      <c r="N137" s="44"/>
      <c r="O137" s="45"/>
      <c r="P137" s="45"/>
      <c r="Q137" s="45"/>
      <c r="R137" s="46"/>
    </row>
    <row r="138" spans="1:18" x14ac:dyDescent="0.15">
      <c r="A138" s="44" t="s">
        <v>60</v>
      </c>
      <c r="B138" s="51">
        <f t="shared" ref="B138:C138" si="145">B124/B$125</f>
        <v>0.12816299704239237</v>
      </c>
      <c r="C138" s="51">
        <f t="shared" si="145"/>
        <v>0.14350682162708439</v>
      </c>
      <c r="D138" s="44">
        <f t="shared" si="129"/>
        <v>0.12696368787020346</v>
      </c>
      <c r="E138" s="44">
        <f t="shared" si="129"/>
        <v>0.13027689514298685</v>
      </c>
      <c r="F138" s="44">
        <f t="shared" ref="F138:I138" si="146">F124/F$125</f>
        <v>0.16087653661143772</v>
      </c>
      <c r="G138" s="44">
        <f t="shared" si="146"/>
        <v>0.13784021071115013</v>
      </c>
      <c r="H138" s="44">
        <f t="shared" si="146"/>
        <v>0.10536649214659685</v>
      </c>
      <c r="I138" s="44">
        <f t="shared" si="146"/>
        <v>0.13552631578947369</v>
      </c>
      <c r="J138" s="44"/>
      <c r="K138" s="44"/>
      <c r="L138" s="44"/>
      <c r="M138" s="44"/>
      <c r="N138" s="44"/>
      <c r="O138" s="45"/>
      <c r="P138" s="45"/>
      <c r="Q138" s="45"/>
      <c r="R138" s="46"/>
    </row>
    <row r="141" spans="1:18" x14ac:dyDescent="0.15">
      <c r="A141" s="23" t="s">
        <v>345</v>
      </c>
      <c r="B141" s="44"/>
      <c r="C141" s="44"/>
      <c r="D141" s="44"/>
      <c r="E141" s="44"/>
      <c r="F141" s="44"/>
      <c r="G141" s="44"/>
      <c r="H141" s="44"/>
      <c r="I141" s="44"/>
    </row>
    <row r="142" spans="1:18" x14ac:dyDescent="0.15">
      <c r="A142" s="44" t="s">
        <v>23</v>
      </c>
      <c r="B142" s="44" t="s">
        <v>5</v>
      </c>
      <c r="C142" s="44" t="s">
        <v>6</v>
      </c>
      <c r="D142" s="44" t="s">
        <v>18</v>
      </c>
      <c r="E142" s="44" t="s">
        <v>29</v>
      </c>
      <c r="F142" s="44" t="s">
        <v>24</v>
      </c>
      <c r="G142" s="44" t="s">
        <v>25</v>
      </c>
      <c r="H142" s="44" t="s">
        <v>31</v>
      </c>
      <c r="I142" s="44" t="s">
        <v>32</v>
      </c>
      <c r="K142" s="48" t="s">
        <v>23</v>
      </c>
      <c r="L142" s="48" t="s">
        <v>19</v>
      </c>
      <c r="M142" s="48" t="s">
        <v>27</v>
      </c>
      <c r="N142" s="48" t="s">
        <v>26</v>
      </c>
      <c r="O142" s="49" t="s">
        <v>28</v>
      </c>
      <c r="P142" s="48" t="s">
        <v>37</v>
      </c>
      <c r="Q142" s="49" t="s">
        <v>34</v>
      </c>
      <c r="R142" s="50" t="s">
        <v>20</v>
      </c>
    </row>
    <row r="143" spans="1:18" x14ac:dyDescent="0.15">
      <c r="A143" s="44" t="s">
        <v>52</v>
      </c>
      <c r="B143" s="44">
        <f>[48]PARS_tRNA_stat_SNPs_freq_10!B2</f>
        <v>4712</v>
      </c>
      <c r="C143" s="44">
        <f>[49]PARS_tRNA_stat_gene_freq_10!B2</f>
        <v>1577</v>
      </c>
      <c r="D143" s="44">
        <f>[50]PARS_tRNA_stat_stem_freq_10!B2</f>
        <v>2822</v>
      </c>
      <c r="E143" s="44">
        <f>[51]PARS_tRNA_stat_loop_freq_10!B2</f>
        <v>1890</v>
      </c>
      <c r="F143" s="4">
        <f>[52]PARS_tRNA_stat_stem_AT_GC_freq_!B2</f>
        <v>1223</v>
      </c>
      <c r="G143" s="44">
        <f>[53]PARS_tRNA_stat_loop_AT_GC_freq_!B2</f>
        <v>950</v>
      </c>
      <c r="H143" s="4">
        <f>[54]PARS_tRNA_stat_stem_GC_AT_freq_!B2</f>
        <v>1470</v>
      </c>
      <c r="I143" s="4">
        <f>[55]PARS_tRNA_stat_loop_GC_AT_freq_!B2</f>
        <v>840</v>
      </c>
      <c r="K143" s="60" t="s">
        <v>8</v>
      </c>
      <c r="L143" s="48" t="s">
        <v>21</v>
      </c>
      <c r="M143" s="48">
        <f>[56]PARS_tRNA_stat_freq_10_chi_squa!B2</f>
        <v>1223</v>
      </c>
      <c r="N143" s="48">
        <f>[56]PARS_tRNA_stat_freq_10_chi_squa!C2</f>
        <v>1470</v>
      </c>
      <c r="O143" s="49">
        <f>[56]PARS_tRNA_stat_freq_10_chi_squa!D2</f>
        <v>0.45414036390642398</v>
      </c>
      <c r="P143" s="49">
        <f>N143/(M143+N143)</f>
        <v>0.54585963609357591</v>
      </c>
      <c r="Q143" s="58">
        <f>[56]PARS_tRNA_stat_freq_10_chi_squa!E3</f>
        <v>25.251313815429</v>
      </c>
      <c r="R143" s="59">
        <f>[56]PARS_tRNA_stat_freq_10_chi_squa!F3</f>
        <v>5.0325000000000001E-7</v>
      </c>
    </row>
    <row r="144" spans="1:18" x14ac:dyDescent="0.15">
      <c r="A144" s="44" t="s">
        <v>38</v>
      </c>
      <c r="B144" s="44">
        <f>[48]PARS_tRNA_stat_SNPs_freq_10!B3</f>
        <v>996</v>
      </c>
      <c r="C144" s="44">
        <f>[49]PARS_tRNA_stat_gene_freq_10!B3</f>
        <v>672</v>
      </c>
      <c r="D144" s="44">
        <f>[50]PARS_tRNA_stat_stem_freq_10!B3</f>
        <v>606</v>
      </c>
      <c r="E144" s="44">
        <f>[51]PARS_tRNA_stat_loop_freq_10!B3</f>
        <v>390</v>
      </c>
      <c r="F144" s="4">
        <f>[52]PARS_tRNA_stat_stem_AT_GC_freq_!B3</f>
        <v>312</v>
      </c>
      <c r="G144" s="44">
        <f>[53]PARS_tRNA_stat_loop_AT_GC_freq_!B3</f>
        <v>212</v>
      </c>
      <c r="H144" s="4">
        <f>[54]PARS_tRNA_stat_stem_GC_AT_freq_!B3</f>
        <v>272</v>
      </c>
      <c r="I144" s="4">
        <f>[55]PARS_tRNA_stat_loop_GC_AT_freq_!B3</f>
        <v>157</v>
      </c>
      <c r="K144" s="60"/>
      <c r="L144" s="48" t="s">
        <v>22</v>
      </c>
      <c r="M144" s="48">
        <f>[56]PARS_tRNA_stat_freq_10_chi_squa!B3</f>
        <v>950</v>
      </c>
      <c r="N144" s="48">
        <f>[56]PARS_tRNA_stat_freq_10_chi_squa!C3</f>
        <v>840</v>
      </c>
      <c r="O144" s="49">
        <f>[56]PARS_tRNA_stat_freq_10_chi_squa!D3</f>
        <v>0.53072625698324005</v>
      </c>
      <c r="P144" s="49">
        <f t="shared" ref="P144:P162" si="147">N144/(M144+N144)</f>
        <v>0.46927374301675978</v>
      </c>
      <c r="Q144" s="58"/>
      <c r="R144" s="59"/>
    </row>
    <row r="145" spans="1:18" x14ac:dyDescent="0.15">
      <c r="A145" s="44" t="s">
        <v>53</v>
      </c>
      <c r="B145" s="44">
        <f>[48]PARS_tRNA_stat_SNPs_freq_10!B4</f>
        <v>660</v>
      </c>
      <c r="C145" s="44">
        <f>[49]PARS_tRNA_stat_gene_freq_10!B4</f>
        <v>468</v>
      </c>
      <c r="D145" s="44">
        <f>[50]PARS_tRNA_stat_stem_freq_10!B4</f>
        <v>379</v>
      </c>
      <c r="E145" s="44">
        <f>[51]PARS_tRNA_stat_loop_freq_10!B4</f>
        <v>281</v>
      </c>
      <c r="F145" s="4">
        <f>[52]PARS_tRNA_stat_stem_AT_GC_freq_!B4</f>
        <v>195</v>
      </c>
      <c r="G145" s="44">
        <f>[53]PARS_tRNA_stat_loop_AT_GC_freq_!B4</f>
        <v>156</v>
      </c>
      <c r="H145" s="4">
        <f>[54]PARS_tRNA_stat_stem_GC_AT_freq_!B4</f>
        <v>171</v>
      </c>
      <c r="I145" s="4">
        <f>[55]PARS_tRNA_stat_loop_GC_AT_freq_!B4</f>
        <v>113</v>
      </c>
      <c r="K145" s="60" t="s">
        <v>9</v>
      </c>
      <c r="L145" s="48" t="s">
        <v>21</v>
      </c>
      <c r="M145" s="48">
        <f>[56]PARS_tRNA_stat_freq_10_chi_squa!B4</f>
        <v>312</v>
      </c>
      <c r="N145" s="48">
        <f>[56]PARS_tRNA_stat_freq_10_chi_squa!C4</f>
        <v>272</v>
      </c>
      <c r="O145" s="49">
        <f>[56]PARS_tRNA_stat_freq_10_chi_squa!D4</f>
        <v>0.534246575342466</v>
      </c>
      <c r="P145" s="49">
        <f t="shared" si="147"/>
        <v>0.46575342465753422</v>
      </c>
      <c r="Q145" s="58">
        <f>[56]PARS_tRNA_stat_freq_10_chi_squa!E5</f>
        <v>1.4821923197190701</v>
      </c>
      <c r="R145" s="59">
        <f>[56]PARS_tRNA_stat_freq_10_chi_squa!F5</f>
        <v>0.22342999999999999</v>
      </c>
    </row>
    <row r="146" spans="1:18" x14ac:dyDescent="0.15">
      <c r="A146" s="44" t="s">
        <v>54</v>
      </c>
      <c r="B146" s="44">
        <f>[48]PARS_tRNA_stat_SNPs_freq_10!B5</f>
        <v>499</v>
      </c>
      <c r="C146" s="44">
        <f>[49]PARS_tRNA_stat_gene_freq_10!B5</f>
        <v>383</v>
      </c>
      <c r="D146" s="44">
        <f>[50]PARS_tRNA_stat_stem_freq_10!B5</f>
        <v>300</v>
      </c>
      <c r="E146" s="44">
        <f>[51]PARS_tRNA_stat_loop_freq_10!B5</f>
        <v>199</v>
      </c>
      <c r="F146" s="4">
        <f>[52]PARS_tRNA_stat_stem_AT_GC_freq_!B5</f>
        <v>155</v>
      </c>
      <c r="G146" s="44">
        <f>[53]PARS_tRNA_stat_loop_AT_GC_freq_!B5</f>
        <v>110</v>
      </c>
      <c r="H146" s="4">
        <f>[54]PARS_tRNA_stat_stem_GC_AT_freq_!B5</f>
        <v>132</v>
      </c>
      <c r="I146" s="4">
        <f>[55]PARS_tRNA_stat_loop_GC_AT_freq_!B5</f>
        <v>83</v>
      </c>
      <c r="K146" s="60"/>
      <c r="L146" s="48" t="s">
        <v>22</v>
      </c>
      <c r="M146" s="48">
        <f>[56]PARS_tRNA_stat_freq_10_chi_squa!B5</f>
        <v>212</v>
      </c>
      <c r="N146" s="48">
        <f>[56]PARS_tRNA_stat_freq_10_chi_squa!C5</f>
        <v>157</v>
      </c>
      <c r="O146" s="49">
        <f>[56]PARS_tRNA_stat_freq_10_chi_squa!D5</f>
        <v>0.57452574525745304</v>
      </c>
      <c r="P146" s="49">
        <f t="shared" si="147"/>
        <v>0.42547425474254741</v>
      </c>
      <c r="Q146" s="58"/>
      <c r="R146" s="59"/>
    </row>
    <row r="147" spans="1:18" x14ac:dyDescent="0.15">
      <c r="A147" s="44" t="s">
        <v>55</v>
      </c>
      <c r="B147" s="44">
        <f>[48]PARS_tRNA_stat_SNPs_freq_10!B6</f>
        <v>463</v>
      </c>
      <c r="C147" s="44">
        <f>[49]PARS_tRNA_stat_gene_freq_10!B6</f>
        <v>333</v>
      </c>
      <c r="D147" s="44">
        <f>[50]PARS_tRNA_stat_stem_freq_10!B6</f>
        <v>282</v>
      </c>
      <c r="E147" s="44">
        <f>[51]PARS_tRNA_stat_loop_freq_10!B6</f>
        <v>181</v>
      </c>
      <c r="F147" s="4">
        <f>[52]PARS_tRNA_stat_stem_AT_GC_freq_!B6</f>
        <v>150</v>
      </c>
      <c r="G147" s="44">
        <f>[53]PARS_tRNA_stat_loop_AT_GC_freq_!B6</f>
        <v>96</v>
      </c>
      <c r="H147" s="4">
        <f>[54]PARS_tRNA_stat_stem_GC_AT_freq_!B6</f>
        <v>123</v>
      </c>
      <c r="I147" s="4">
        <f>[55]PARS_tRNA_stat_loop_GC_AT_freq_!B6</f>
        <v>81</v>
      </c>
      <c r="K147" s="60" t="s">
        <v>10</v>
      </c>
      <c r="L147" s="48" t="s">
        <v>21</v>
      </c>
      <c r="M147" s="48">
        <f>[56]PARS_tRNA_stat_freq_10_chi_squa!B6</f>
        <v>195</v>
      </c>
      <c r="N147" s="48">
        <f>[56]PARS_tRNA_stat_freq_10_chi_squa!C6</f>
        <v>171</v>
      </c>
      <c r="O147" s="49">
        <f>[56]PARS_tRNA_stat_freq_10_chi_squa!D6</f>
        <v>0.53278688524590201</v>
      </c>
      <c r="P147" s="49">
        <f t="shared" si="147"/>
        <v>0.46721311475409838</v>
      </c>
      <c r="Q147" s="58">
        <f>[56]PARS_tRNA_stat_freq_10_chi_squa!E7</f>
        <v>1.39359968731614</v>
      </c>
      <c r="R147" s="59">
        <f>[56]PARS_tRNA_stat_freq_10_chi_squa!F7</f>
        <v>0.23780000000000001</v>
      </c>
    </row>
    <row r="148" spans="1:18" x14ac:dyDescent="0.15">
      <c r="A148" s="44" t="s">
        <v>56</v>
      </c>
      <c r="B148" s="44">
        <f>[48]PARS_tRNA_stat_SNPs_freq_10!B7</f>
        <v>469</v>
      </c>
      <c r="C148" s="44">
        <f>[49]PARS_tRNA_stat_gene_freq_10!B7</f>
        <v>339</v>
      </c>
      <c r="D148" s="44">
        <f>[50]PARS_tRNA_stat_stem_freq_10!B7</f>
        <v>282</v>
      </c>
      <c r="E148" s="44">
        <f>[51]PARS_tRNA_stat_loop_freq_10!B7</f>
        <v>187</v>
      </c>
      <c r="F148" s="4">
        <f>[52]PARS_tRNA_stat_stem_AT_GC_freq_!B7</f>
        <v>165</v>
      </c>
      <c r="G148" s="44">
        <f>[53]PARS_tRNA_stat_loop_AT_GC_freq_!B7</f>
        <v>101</v>
      </c>
      <c r="H148" s="4">
        <f>[54]PARS_tRNA_stat_stem_GC_AT_freq_!B7</f>
        <v>105</v>
      </c>
      <c r="I148" s="4">
        <f>[55]PARS_tRNA_stat_loop_GC_AT_freq_!B7</f>
        <v>82</v>
      </c>
      <c r="K148" s="60"/>
      <c r="L148" s="48" t="s">
        <v>22</v>
      </c>
      <c r="M148" s="48">
        <f>[56]PARS_tRNA_stat_freq_10_chi_squa!B7</f>
        <v>156</v>
      </c>
      <c r="N148" s="48">
        <f>[56]PARS_tRNA_stat_freq_10_chi_squa!C7</f>
        <v>113</v>
      </c>
      <c r="O148" s="49">
        <f>[56]PARS_tRNA_stat_freq_10_chi_squa!D7</f>
        <v>0.57992565055762102</v>
      </c>
      <c r="P148" s="49">
        <f t="shared" si="147"/>
        <v>0.4200743494423792</v>
      </c>
      <c r="Q148" s="58"/>
      <c r="R148" s="59"/>
    </row>
    <row r="149" spans="1:18" x14ac:dyDescent="0.15">
      <c r="A149" s="44" t="s">
        <v>57</v>
      </c>
      <c r="B149" s="44">
        <f>[48]PARS_tRNA_stat_SNPs_freq_10!B8</f>
        <v>391</v>
      </c>
      <c r="C149" s="44">
        <f>[49]PARS_tRNA_stat_gene_freq_10!B8</f>
        <v>298</v>
      </c>
      <c r="D149" s="44">
        <f>[50]PARS_tRNA_stat_stem_freq_10!B8</f>
        <v>237</v>
      </c>
      <c r="E149" s="44">
        <f>[51]PARS_tRNA_stat_loop_freq_10!B8</f>
        <v>154</v>
      </c>
      <c r="F149" s="4">
        <f>[52]PARS_tRNA_stat_stem_AT_GC_freq_!B8</f>
        <v>117</v>
      </c>
      <c r="G149" s="44">
        <f>[53]PARS_tRNA_stat_loop_AT_GC_freq_!B8</f>
        <v>72</v>
      </c>
      <c r="H149" s="4">
        <f>[54]PARS_tRNA_stat_stem_GC_AT_freq_!B8</f>
        <v>114</v>
      </c>
      <c r="I149" s="4">
        <f>[55]PARS_tRNA_stat_loop_GC_AT_freq_!B8</f>
        <v>75</v>
      </c>
      <c r="K149" s="60" t="s">
        <v>11</v>
      </c>
      <c r="L149" s="48" t="s">
        <v>21</v>
      </c>
      <c r="M149" s="48">
        <f>[56]PARS_tRNA_stat_freq_10_chi_squa!B8</f>
        <v>155</v>
      </c>
      <c r="N149" s="48">
        <f>[56]PARS_tRNA_stat_freq_10_chi_squa!C8</f>
        <v>132</v>
      </c>
      <c r="O149" s="49">
        <f>[56]PARS_tRNA_stat_freq_10_chi_squa!D8</f>
        <v>0.54006968641115005</v>
      </c>
      <c r="P149" s="49">
        <f t="shared" si="147"/>
        <v>0.45993031358885017</v>
      </c>
      <c r="Q149" s="58">
        <f>[56]PARS_tRNA_stat_freq_10_chi_squa!E9</f>
        <v>0.41659465543169599</v>
      </c>
      <c r="R149" s="59">
        <f>[56]PARS_tRNA_stat_freq_10_chi_squa!F9</f>
        <v>0.51863999999999999</v>
      </c>
    </row>
    <row r="150" spans="1:18" x14ac:dyDescent="0.15">
      <c r="A150" s="44" t="s">
        <v>58</v>
      </c>
      <c r="B150" s="44">
        <f>[48]PARS_tRNA_stat_SNPs_freq_10!B9</f>
        <v>434</v>
      </c>
      <c r="C150" s="44">
        <f>[49]PARS_tRNA_stat_gene_freq_10!B9</f>
        <v>339</v>
      </c>
      <c r="D150" s="44">
        <f>[50]PARS_tRNA_stat_stem_freq_10!B9</f>
        <v>256</v>
      </c>
      <c r="E150" s="44">
        <f>[51]PARS_tRNA_stat_loop_freq_10!B9</f>
        <v>178</v>
      </c>
      <c r="F150" s="4">
        <f>[52]PARS_tRNA_stat_stem_AT_GC_freq_!B9</f>
        <v>134</v>
      </c>
      <c r="G150" s="44">
        <f>[53]PARS_tRNA_stat_loop_AT_GC_freq_!B9</f>
        <v>86</v>
      </c>
      <c r="H150" s="4">
        <f>[54]PARS_tRNA_stat_stem_GC_AT_freq_!B9</f>
        <v>110</v>
      </c>
      <c r="I150" s="4">
        <f>[55]PARS_tRNA_stat_loop_GC_AT_freq_!B9</f>
        <v>86</v>
      </c>
      <c r="K150" s="60"/>
      <c r="L150" s="48" t="s">
        <v>22</v>
      </c>
      <c r="M150" s="48">
        <f>[56]PARS_tRNA_stat_freq_10_chi_squa!B9</f>
        <v>110</v>
      </c>
      <c r="N150" s="48">
        <f>[56]PARS_tRNA_stat_freq_10_chi_squa!C9</f>
        <v>83</v>
      </c>
      <c r="O150" s="49">
        <f>[56]PARS_tRNA_stat_freq_10_chi_squa!D9</f>
        <v>0.56994818652849699</v>
      </c>
      <c r="P150" s="49">
        <f t="shared" si="147"/>
        <v>0.43005181347150256</v>
      </c>
      <c r="Q150" s="58"/>
      <c r="R150" s="59"/>
    </row>
    <row r="151" spans="1:18" x14ac:dyDescent="0.15">
      <c r="A151" s="44" t="s">
        <v>59</v>
      </c>
      <c r="B151" s="44">
        <f>[48]PARS_tRNA_stat_SNPs_freq_10!B10</f>
        <v>573</v>
      </c>
      <c r="C151" s="44">
        <f>[49]PARS_tRNA_stat_gene_freq_10!B10</f>
        <v>406</v>
      </c>
      <c r="D151" s="44">
        <f>[50]PARS_tRNA_stat_stem_freq_10!B10</f>
        <v>355</v>
      </c>
      <c r="E151" s="44">
        <f>[51]PARS_tRNA_stat_loop_freq_10!B10</f>
        <v>218</v>
      </c>
      <c r="F151" s="4">
        <f>[52]PARS_tRNA_stat_stem_AT_GC_freq_!B10</f>
        <v>210</v>
      </c>
      <c r="G151" s="44">
        <f>[53]PARS_tRNA_stat_loop_AT_GC_freq_!B10</f>
        <v>116</v>
      </c>
      <c r="H151" s="4">
        <f>[54]PARS_tRNA_stat_stem_GC_AT_freq_!B10</f>
        <v>139</v>
      </c>
      <c r="I151" s="4">
        <f>[55]PARS_tRNA_stat_loop_GC_AT_freq_!B10</f>
        <v>97</v>
      </c>
      <c r="K151" s="60" t="s">
        <v>12</v>
      </c>
      <c r="L151" s="48" t="s">
        <v>21</v>
      </c>
      <c r="M151" s="48">
        <f>[56]PARS_tRNA_stat_freq_10_chi_squa!B10</f>
        <v>150</v>
      </c>
      <c r="N151" s="48">
        <f>[56]PARS_tRNA_stat_freq_10_chi_squa!C10</f>
        <v>123</v>
      </c>
      <c r="O151" s="49">
        <f>[56]PARS_tRNA_stat_freq_10_chi_squa!D10</f>
        <v>0.54945054945054905</v>
      </c>
      <c r="P151" s="49">
        <f t="shared" si="147"/>
        <v>0.45054945054945056</v>
      </c>
      <c r="Q151" s="58">
        <f>[56]PARS_tRNA_stat_freq_10_chi_squa!E11</f>
        <v>2.17051873059462E-2</v>
      </c>
      <c r="R151" s="59">
        <f>[56]PARS_tRNA_stat_freq_10_chi_squa!F11</f>
        <v>0.88287000000000004</v>
      </c>
    </row>
    <row r="152" spans="1:18" x14ac:dyDescent="0.15">
      <c r="A152" s="44" t="s">
        <v>60</v>
      </c>
      <c r="B152" s="44">
        <f>[48]PARS_tRNA_stat_SNPs_freq_10!B11</f>
        <v>1534</v>
      </c>
      <c r="C152" s="44">
        <f>[49]PARS_tRNA_stat_gene_freq_10!B11</f>
        <v>886</v>
      </c>
      <c r="D152" s="44">
        <f>[50]PARS_tRNA_stat_stem_freq_10!B11</f>
        <v>956</v>
      </c>
      <c r="E152" s="44">
        <f>[51]PARS_tRNA_stat_loop_freq_10!B11</f>
        <v>578</v>
      </c>
      <c r="F152" s="4">
        <f>[52]PARS_tRNA_stat_stem_AT_GC_freq_!B11</f>
        <v>642</v>
      </c>
      <c r="G152" s="44">
        <f>[53]PARS_tRNA_stat_loop_AT_GC_freq_!B11</f>
        <v>342</v>
      </c>
      <c r="H152" s="4">
        <f>[54]PARS_tRNA_stat_stem_GC_AT_freq_!B11</f>
        <v>301</v>
      </c>
      <c r="I152" s="4">
        <f>[55]PARS_tRNA_stat_loop_GC_AT_freq_!B11</f>
        <v>223</v>
      </c>
      <c r="K152" s="60"/>
      <c r="L152" s="48" t="s">
        <v>22</v>
      </c>
      <c r="M152" s="48">
        <f>[56]PARS_tRNA_stat_freq_10_chi_squa!B11</f>
        <v>96</v>
      </c>
      <c r="N152" s="48">
        <f>[56]PARS_tRNA_stat_freq_10_chi_squa!C11</f>
        <v>81</v>
      </c>
      <c r="O152" s="49">
        <f>[56]PARS_tRNA_stat_freq_10_chi_squa!D11</f>
        <v>0.54237288135593198</v>
      </c>
      <c r="P152" s="49">
        <f t="shared" si="147"/>
        <v>0.4576271186440678</v>
      </c>
      <c r="Q152" s="58"/>
      <c r="R152" s="59"/>
    </row>
    <row r="153" spans="1:18" x14ac:dyDescent="0.15">
      <c r="A153" s="44" t="s">
        <v>61</v>
      </c>
      <c r="B153" s="51">
        <f t="shared" ref="B153:C153" si="148">SUM(B143:B152)</f>
        <v>10731</v>
      </c>
      <c r="C153" s="51">
        <f t="shared" si="148"/>
        <v>5701</v>
      </c>
      <c r="D153" s="44">
        <f>SUM(D143:D152)</f>
        <v>6475</v>
      </c>
      <c r="E153" s="44">
        <f t="shared" ref="E153:I153" si="149">SUM(E143:E152)</f>
        <v>4256</v>
      </c>
      <c r="F153" s="44">
        <f t="shared" si="149"/>
        <v>3303</v>
      </c>
      <c r="G153" s="44">
        <f t="shared" si="149"/>
        <v>2241</v>
      </c>
      <c r="H153" s="44">
        <f t="shared" si="149"/>
        <v>2937</v>
      </c>
      <c r="I153" s="44">
        <f t="shared" si="149"/>
        <v>1837</v>
      </c>
      <c r="K153" s="60" t="s">
        <v>13</v>
      </c>
      <c r="L153" s="48" t="s">
        <v>21</v>
      </c>
      <c r="M153" s="48">
        <f>[56]PARS_tRNA_stat_freq_10_chi_squa!B12</f>
        <v>165</v>
      </c>
      <c r="N153" s="48">
        <f>[56]PARS_tRNA_stat_freq_10_chi_squa!C12</f>
        <v>105</v>
      </c>
      <c r="O153" s="49">
        <f>[56]PARS_tRNA_stat_freq_10_chi_squa!D12</f>
        <v>0.61111111111111105</v>
      </c>
      <c r="P153" s="49">
        <f t="shared" si="147"/>
        <v>0.3888888888888889</v>
      </c>
      <c r="Q153" s="58">
        <f>[56]PARS_tRNA_stat_freq_10_chi_squa!E13</f>
        <v>1.5769279317343099</v>
      </c>
      <c r="R153" s="59">
        <f>[56]PARS_tRNA_stat_freq_10_chi_squa!F13</f>
        <v>0.2092</v>
      </c>
    </row>
    <row r="154" spans="1:18" x14ac:dyDescent="0.15">
      <c r="A154" s="44"/>
      <c r="B154" s="44"/>
      <c r="C154" s="44"/>
      <c r="D154" s="44"/>
      <c r="E154" s="44"/>
      <c r="F154" s="44"/>
      <c r="G154" s="44"/>
      <c r="H154" s="44"/>
      <c r="I154" s="44"/>
      <c r="K154" s="60"/>
      <c r="L154" s="48" t="s">
        <v>22</v>
      </c>
      <c r="M154" s="48">
        <f>[56]PARS_tRNA_stat_freq_10_chi_squa!B13</f>
        <v>101</v>
      </c>
      <c r="N154" s="48">
        <f>[56]PARS_tRNA_stat_freq_10_chi_squa!C13</f>
        <v>82</v>
      </c>
      <c r="O154" s="49">
        <f>[56]PARS_tRNA_stat_freq_10_chi_squa!D13</f>
        <v>0.55191256830601099</v>
      </c>
      <c r="P154" s="49">
        <f t="shared" si="147"/>
        <v>0.44808743169398907</v>
      </c>
      <c r="Q154" s="58"/>
      <c r="R154" s="59"/>
    </row>
    <row r="155" spans="1:18" x14ac:dyDescent="0.15">
      <c r="A155" s="44"/>
      <c r="B155" s="44"/>
      <c r="C155" s="44"/>
      <c r="D155" s="44"/>
      <c r="E155" s="44"/>
      <c r="F155" s="44"/>
      <c r="G155" s="44"/>
      <c r="H155" s="44"/>
      <c r="I155" s="44"/>
      <c r="K155" s="60" t="s">
        <v>14</v>
      </c>
      <c r="L155" s="48" t="s">
        <v>21</v>
      </c>
      <c r="M155" s="48">
        <f>[56]PARS_tRNA_stat_freq_10_chi_squa!B14</f>
        <v>117</v>
      </c>
      <c r="N155" s="48">
        <f>[56]PARS_tRNA_stat_freq_10_chi_squa!C14</f>
        <v>114</v>
      </c>
      <c r="O155" s="49">
        <f>[56]PARS_tRNA_stat_freq_10_chi_squa!D14</f>
        <v>0.506493506493506</v>
      </c>
      <c r="P155" s="49">
        <f t="shared" si="147"/>
        <v>0.4935064935064935</v>
      </c>
      <c r="Q155" s="58">
        <f>[56]PARS_tRNA_stat_freq_10_chi_squa!E15</f>
        <v>0.10018552875695701</v>
      </c>
      <c r="R155" s="59">
        <f>[56]PARS_tRNA_stat_freq_10_chi_squa!F15</f>
        <v>0.75161</v>
      </c>
    </row>
    <row r="156" spans="1:18" x14ac:dyDescent="0.15">
      <c r="A156" s="44" t="s">
        <v>23</v>
      </c>
      <c r="B156" s="44"/>
      <c r="C156" s="44"/>
      <c r="D156" s="44" t="s">
        <v>18</v>
      </c>
      <c r="E156" s="44" t="s">
        <v>29</v>
      </c>
      <c r="F156" s="44" t="s">
        <v>24</v>
      </c>
      <c r="G156" s="44" t="s">
        <v>25</v>
      </c>
      <c r="H156" s="44" t="s">
        <v>31</v>
      </c>
      <c r="I156" s="44" t="s">
        <v>32</v>
      </c>
      <c r="K156" s="60"/>
      <c r="L156" s="48" t="s">
        <v>22</v>
      </c>
      <c r="M156" s="48">
        <f>[56]PARS_tRNA_stat_freq_10_chi_squa!B15</f>
        <v>72</v>
      </c>
      <c r="N156" s="48">
        <f>[56]PARS_tRNA_stat_freq_10_chi_squa!C15</f>
        <v>75</v>
      </c>
      <c r="O156" s="49">
        <f>[56]PARS_tRNA_stat_freq_10_chi_squa!D15</f>
        <v>0.48979591836734698</v>
      </c>
      <c r="P156" s="49">
        <f t="shared" si="147"/>
        <v>0.51020408163265307</v>
      </c>
      <c r="Q156" s="58"/>
      <c r="R156" s="59"/>
    </row>
    <row r="157" spans="1:18" x14ac:dyDescent="0.15">
      <c r="A157" s="44" t="s">
        <v>52</v>
      </c>
      <c r="B157" s="51">
        <f t="shared" ref="B157:C157" si="150">B143/B$153</f>
        <v>0.43910166806448608</v>
      </c>
      <c r="C157" s="51">
        <f t="shared" si="150"/>
        <v>0.27661813716891775</v>
      </c>
      <c r="D157" s="44">
        <f>D143/D$153</f>
        <v>0.43583011583011583</v>
      </c>
      <c r="E157" s="44">
        <f t="shared" ref="E157:I157" si="151">E143/E$153</f>
        <v>0.44407894736842107</v>
      </c>
      <c r="F157" s="44">
        <f t="shared" si="151"/>
        <v>0.37026945201332123</v>
      </c>
      <c r="G157" s="44">
        <f t="shared" si="151"/>
        <v>0.42391789379741185</v>
      </c>
      <c r="H157" s="44">
        <f t="shared" si="151"/>
        <v>0.50051072522982631</v>
      </c>
      <c r="I157" s="44">
        <f t="shared" si="151"/>
        <v>0.45726728361458902</v>
      </c>
      <c r="K157" s="60" t="s">
        <v>15</v>
      </c>
      <c r="L157" s="48" t="s">
        <v>21</v>
      </c>
      <c r="M157" s="48">
        <f>[56]PARS_tRNA_stat_freq_10_chi_squa!B16</f>
        <v>134</v>
      </c>
      <c r="N157" s="48">
        <f>[56]PARS_tRNA_stat_freq_10_chi_squa!C16</f>
        <v>110</v>
      </c>
      <c r="O157" s="49">
        <f>[56]PARS_tRNA_stat_freq_10_chi_squa!D16</f>
        <v>0.54918032786885296</v>
      </c>
      <c r="P157" s="49">
        <f t="shared" si="147"/>
        <v>0.45081967213114754</v>
      </c>
      <c r="Q157" s="58">
        <f>[56]PARS_tRNA_stat_freq_10_chi_squa!E17</f>
        <v>0.97929985705161504</v>
      </c>
      <c r="R157" s="59">
        <f>[56]PARS_tRNA_stat_freq_10_chi_squa!F17</f>
        <v>0.32236999999999999</v>
      </c>
    </row>
    <row r="158" spans="1:18" x14ac:dyDescent="0.15">
      <c r="A158" s="44" t="s">
        <v>38</v>
      </c>
      <c r="B158" s="51">
        <f t="shared" ref="B158:C158" si="152">B144/B$153</f>
        <v>9.2815208275090863E-2</v>
      </c>
      <c r="C158" s="51">
        <f t="shared" si="152"/>
        <v>0.11787405718295035</v>
      </c>
      <c r="D158" s="44">
        <f t="shared" ref="D158:I166" si="153">D144/D$153</f>
        <v>9.3590733590733596E-2</v>
      </c>
      <c r="E158" s="44">
        <f t="shared" si="153"/>
        <v>9.1635338345864667E-2</v>
      </c>
      <c r="F158" s="44">
        <f t="shared" si="153"/>
        <v>9.445958219800181E-2</v>
      </c>
      <c r="G158" s="44">
        <f t="shared" si="153"/>
        <v>9.4600624721106655E-2</v>
      </c>
      <c r="H158" s="44">
        <f t="shared" si="153"/>
        <v>9.2611508341845422E-2</v>
      </c>
      <c r="I158" s="44">
        <f t="shared" si="153"/>
        <v>8.5465432770821997E-2</v>
      </c>
      <c r="K158" s="60"/>
      <c r="L158" s="48" t="s">
        <v>22</v>
      </c>
      <c r="M158" s="48">
        <f>[56]PARS_tRNA_stat_freq_10_chi_squa!B17</f>
        <v>86</v>
      </c>
      <c r="N158" s="48">
        <f>[56]PARS_tRNA_stat_freq_10_chi_squa!C17</f>
        <v>86</v>
      </c>
      <c r="O158" s="49">
        <f>[56]PARS_tRNA_stat_freq_10_chi_squa!D17</f>
        <v>0.5</v>
      </c>
      <c r="P158" s="49">
        <f t="shared" si="147"/>
        <v>0.5</v>
      </c>
      <c r="Q158" s="58"/>
      <c r="R158" s="59"/>
    </row>
    <row r="159" spans="1:18" x14ac:dyDescent="0.15">
      <c r="A159" s="44" t="s">
        <v>53</v>
      </c>
      <c r="B159" s="51">
        <f t="shared" ref="B159:C159" si="154">B145/B$153</f>
        <v>6.1504053676265026E-2</v>
      </c>
      <c r="C159" s="51">
        <f t="shared" si="154"/>
        <v>8.2090861252411856E-2</v>
      </c>
      <c r="D159" s="44">
        <f t="shared" si="153"/>
        <v>5.8532818532818533E-2</v>
      </c>
      <c r="E159" s="44">
        <f t="shared" si="153"/>
        <v>6.6024436090225569E-2</v>
      </c>
      <c r="F159" s="44">
        <f t="shared" si="153"/>
        <v>5.9037238873751133E-2</v>
      </c>
      <c r="G159" s="44">
        <f t="shared" si="153"/>
        <v>6.9611780455153954E-2</v>
      </c>
      <c r="H159" s="44">
        <f t="shared" si="153"/>
        <v>5.8222676200204292E-2</v>
      </c>
      <c r="I159" s="44">
        <f t="shared" si="153"/>
        <v>6.1513336962438755E-2</v>
      </c>
      <c r="K159" s="60" t="s">
        <v>16</v>
      </c>
      <c r="L159" s="48" t="s">
        <v>21</v>
      </c>
      <c r="M159" s="48">
        <f>[56]PARS_tRNA_stat_freq_10_chi_squa!B18</f>
        <v>210</v>
      </c>
      <c r="N159" s="48">
        <f>[56]PARS_tRNA_stat_freq_10_chi_squa!C18</f>
        <v>139</v>
      </c>
      <c r="O159" s="49">
        <f>[56]PARS_tRNA_stat_freq_10_chi_squa!D18</f>
        <v>0.60171919770773596</v>
      </c>
      <c r="P159" s="49">
        <f t="shared" si="147"/>
        <v>0.39828080229226359</v>
      </c>
      <c r="Q159" s="58">
        <f>[56]PARS_tRNA_stat_freq_10_chi_squa!E19</f>
        <v>1.77158364297955</v>
      </c>
      <c r="R159" s="59">
        <f>[56]PARS_tRNA_stat_freq_10_chi_squa!F19</f>
        <v>0.18318999999999999</v>
      </c>
    </row>
    <row r="160" spans="1:18" x14ac:dyDescent="0.15">
      <c r="A160" s="44" t="s">
        <v>54</v>
      </c>
      <c r="B160" s="51">
        <f t="shared" ref="B160:C160" si="155">B146/B$153</f>
        <v>4.6500792097660983E-2</v>
      </c>
      <c r="C160" s="51">
        <f t="shared" si="155"/>
        <v>6.7181196281354147E-2</v>
      </c>
      <c r="D160" s="44">
        <f t="shared" si="153"/>
        <v>4.633204633204633E-2</v>
      </c>
      <c r="E160" s="44">
        <f t="shared" si="153"/>
        <v>4.6757518796992484E-2</v>
      </c>
      <c r="F160" s="44">
        <f t="shared" si="153"/>
        <v>4.6927036027853468E-2</v>
      </c>
      <c r="G160" s="44">
        <f t="shared" si="153"/>
        <v>4.9085229808121376E-2</v>
      </c>
      <c r="H160" s="44">
        <f t="shared" si="153"/>
        <v>4.49438202247191E-2</v>
      </c>
      <c r="I160" s="44">
        <f t="shared" si="153"/>
        <v>4.5182362547632006E-2</v>
      </c>
      <c r="K160" s="60"/>
      <c r="L160" s="48" t="s">
        <v>22</v>
      </c>
      <c r="M160" s="48">
        <f>[56]PARS_tRNA_stat_freq_10_chi_squa!B19</f>
        <v>116</v>
      </c>
      <c r="N160" s="48">
        <f>[56]PARS_tRNA_stat_freq_10_chi_squa!C19</f>
        <v>97</v>
      </c>
      <c r="O160" s="49">
        <f>[56]PARS_tRNA_stat_freq_10_chi_squa!D19</f>
        <v>0.54460093896713602</v>
      </c>
      <c r="P160" s="49">
        <f t="shared" si="147"/>
        <v>0.45539906103286387</v>
      </c>
      <c r="Q160" s="58"/>
      <c r="R160" s="59"/>
    </row>
    <row r="161" spans="1:18" x14ac:dyDescent="0.15">
      <c r="A161" s="44" t="s">
        <v>55</v>
      </c>
      <c r="B161" s="51">
        <f t="shared" ref="B161:C161" si="156">B147/B$153</f>
        <v>4.3146025533501074E-2</v>
      </c>
      <c r="C161" s="51">
        <f t="shared" si="156"/>
        <v>5.8410805121908438E-2</v>
      </c>
      <c r="D161" s="44">
        <f t="shared" si="153"/>
        <v>4.3552123552123553E-2</v>
      </c>
      <c r="E161" s="44">
        <f t="shared" si="153"/>
        <v>4.2528195488721804E-2</v>
      </c>
      <c r="F161" s="44">
        <f t="shared" si="153"/>
        <v>4.5413260672116255E-2</v>
      </c>
      <c r="G161" s="44">
        <f t="shared" si="153"/>
        <v>4.2838018741633198E-2</v>
      </c>
      <c r="H161" s="44">
        <f t="shared" si="153"/>
        <v>4.1879468845760978E-2</v>
      </c>
      <c r="I161" s="44">
        <f t="shared" si="153"/>
        <v>4.4093630919978227E-2</v>
      </c>
      <c r="K161" s="60" t="s">
        <v>17</v>
      </c>
      <c r="L161" s="48" t="s">
        <v>21</v>
      </c>
      <c r="M161" s="48">
        <f>[56]PARS_tRNA_stat_freq_10_chi_squa!B20</f>
        <v>642</v>
      </c>
      <c r="N161" s="48">
        <f>[56]PARS_tRNA_stat_freq_10_chi_squa!C20</f>
        <v>301</v>
      </c>
      <c r="O161" s="49">
        <f>[56]PARS_tRNA_stat_freq_10_chi_squa!D20</f>
        <v>0.68080593849416804</v>
      </c>
      <c r="P161" s="49">
        <f t="shared" si="147"/>
        <v>0.31919406150583246</v>
      </c>
      <c r="Q161" s="58">
        <f>[56]PARS_tRNA_stat_freq_10_chi_squa!E21</f>
        <v>8.8814797016822506</v>
      </c>
      <c r="R161" s="59">
        <f>[56]PARS_tRNA_stat_freq_10_chi_squa!F21</f>
        <v>2.8808000000000002E-3</v>
      </c>
    </row>
    <row r="162" spans="1:18" x14ac:dyDescent="0.15">
      <c r="A162" s="44" t="s">
        <v>56</v>
      </c>
      <c r="B162" s="51">
        <f t="shared" ref="B162:C162" si="157">B148/B$153</f>
        <v>4.3705153294194388E-2</v>
      </c>
      <c r="C162" s="51">
        <f t="shared" si="157"/>
        <v>5.9463252061041923E-2</v>
      </c>
      <c r="D162" s="44">
        <f t="shared" si="153"/>
        <v>4.3552123552123553E-2</v>
      </c>
      <c r="E162" s="44">
        <f t="shared" si="153"/>
        <v>4.3937969924812033E-2</v>
      </c>
      <c r="F162" s="44">
        <f t="shared" si="153"/>
        <v>4.9954586739327886E-2</v>
      </c>
      <c r="G162" s="44">
        <f t="shared" si="153"/>
        <v>4.5069165551093263E-2</v>
      </c>
      <c r="H162" s="44">
        <f t="shared" si="153"/>
        <v>3.5750766087844742E-2</v>
      </c>
      <c r="I162" s="44">
        <f t="shared" si="153"/>
        <v>4.463799673380512E-2</v>
      </c>
      <c r="K162" s="60"/>
      <c r="L162" s="48" t="s">
        <v>22</v>
      </c>
      <c r="M162" s="48">
        <f>[56]PARS_tRNA_stat_freq_10_chi_squa!B21</f>
        <v>342</v>
      </c>
      <c r="N162" s="48">
        <f>[56]PARS_tRNA_stat_freq_10_chi_squa!C21</f>
        <v>223</v>
      </c>
      <c r="O162" s="49">
        <f>[56]PARS_tRNA_stat_freq_10_chi_squa!D21</f>
        <v>0.60530973451327397</v>
      </c>
      <c r="P162" s="49">
        <f t="shared" si="147"/>
        <v>0.39469026548672564</v>
      </c>
      <c r="Q162" s="58"/>
      <c r="R162" s="59"/>
    </row>
    <row r="163" spans="1:18" x14ac:dyDescent="0.15">
      <c r="A163" s="44" t="s">
        <v>57</v>
      </c>
      <c r="B163" s="51">
        <f t="shared" ref="B163:C163" si="158">B149/B$153</f>
        <v>3.6436492405181251E-2</v>
      </c>
      <c r="C163" s="51">
        <f t="shared" si="158"/>
        <v>5.2271531310296437E-2</v>
      </c>
      <c r="D163" s="44">
        <f t="shared" si="153"/>
        <v>3.6602316602316602E-2</v>
      </c>
      <c r="E163" s="44">
        <f t="shared" si="153"/>
        <v>3.6184210526315791E-2</v>
      </c>
      <c r="F163" s="44">
        <f t="shared" si="153"/>
        <v>3.5422343324250684E-2</v>
      </c>
      <c r="G163" s="44">
        <f t="shared" si="153"/>
        <v>3.2128514056224897E-2</v>
      </c>
      <c r="H163" s="44">
        <f t="shared" si="153"/>
        <v>3.8815117466802863E-2</v>
      </c>
      <c r="I163" s="44">
        <f t="shared" si="153"/>
        <v>4.0827436037016877E-2</v>
      </c>
    </row>
    <row r="164" spans="1:18" x14ac:dyDescent="0.15">
      <c r="A164" s="44" t="s">
        <v>58</v>
      </c>
      <c r="B164" s="51">
        <f t="shared" ref="B164:C164" si="159">B150/B$153</f>
        <v>4.044357469015003E-2</v>
      </c>
      <c r="C164" s="51">
        <f t="shared" si="159"/>
        <v>5.9463252061041923E-2</v>
      </c>
      <c r="D164" s="44">
        <f t="shared" si="153"/>
        <v>3.9536679536679539E-2</v>
      </c>
      <c r="E164" s="44">
        <f t="shared" si="153"/>
        <v>4.1823308270676693E-2</v>
      </c>
      <c r="F164" s="44">
        <f t="shared" si="153"/>
        <v>4.0569179533757188E-2</v>
      </c>
      <c r="G164" s="44">
        <f t="shared" si="153"/>
        <v>3.8375725122713075E-2</v>
      </c>
      <c r="H164" s="44">
        <f t="shared" si="153"/>
        <v>3.7453183520599252E-2</v>
      </c>
      <c r="I164" s="44">
        <f t="shared" si="153"/>
        <v>4.6815459989112684E-2</v>
      </c>
    </row>
    <row r="165" spans="1:18" x14ac:dyDescent="0.15">
      <c r="A165" s="44" t="s">
        <v>59</v>
      </c>
      <c r="B165" s="51">
        <f t="shared" ref="B165:C165" si="160">B151/B$153</f>
        <v>5.3396701146211908E-2</v>
      </c>
      <c r="C165" s="51">
        <f t="shared" si="160"/>
        <v>7.1215576214699178E-2</v>
      </c>
      <c r="D165" s="44">
        <f t="shared" si="153"/>
        <v>5.4826254826254826E-2</v>
      </c>
      <c r="E165" s="44">
        <f t="shared" si="153"/>
        <v>5.1221804511278196E-2</v>
      </c>
      <c r="F165" s="44">
        <f t="shared" si="153"/>
        <v>6.3578564940962756E-2</v>
      </c>
      <c r="G165" s="44">
        <f t="shared" si="153"/>
        <v>5.176260597947345E-2</v>
      </c>
      <c r="H165" s="44">
        <f t="shared" si="153"/>
        <v>4.7327204630575416E-2</v>
      </c>
      <c r="I165" s="44">
        <f t="shared" si="153"/>
        <v>5.2803483941208491E-2</v>
      </c>
    </row>
    <row r="166" spans="1:18" x14ac:dyDescent="0.15">
      <c r="A166" s="44" t="s">
        <v>60</v>
      </c>
      <c r="B166" s="51">
        <f t="shared" ref="B166:C166" si="161">B152/B$153</f>
        <v>0.14295033081725841</v>
      </c>
      <c r="C166" s="51">
        <f t="shared" si="161"/>
        <v>0.15541133134537802</v>
      </c>
      <c r="D166" s="44">
        <f t="shared" si="153"/>
        <v>0.14764478764478764</v>
      </c>
      <c r="E166" s="44">
        <f t="shared" si="153"/>
        <v>0.13580827067669174</v>
      </c>
      <c r="F166" s="44">
        <f t="shared" si="153"/>
        <v>0.1943687556766576</v>
      </c>
      <c r="G166" s="44">
        <f t="shared" si="153"/>
        <v>0.15261044176706828</v>
      </c>
      <c r="H166" s="44">
        <f t="shared" si="153"/>
        <v>0.10248552945182159</v>
      </c>
      <c r="I166" s="44">
        <f t="shared" si="153"/>
        <v>0.12139357648339684</v>
      </c>
    </row>
  </sheetData>
  <mergeCells count="180">
    <mergeCell ref="K161:K162"/>
    <mergeCell ref="Q161:Q162"/>
    <mergeCell ref="R161:R162"/>
    <mergeCell ref="K155:K156"/>
    <mergeCell ref="Q155:Q156"/>
    <mergeCell ref="R155:R156"/>
    <mergeCell ref="K157:K158"/>
    <mergeCell ref="Q157:Q158"/>
    <mergeCell ref="R157:R158"/>
    <mergeCell ref="K159:K160"/>
    <mergeCell ref="Q159:Q160"/>
    <mergeCell ref="R159:R160"/>
    <mergeCell ref="K149:K150"/>
    <mergeCell ref="Q149:Q150"/>
    <mergeCell ref="R149:R150"/>
    <mergeCell ref="K151:K152"/>
    <mergeCell ref="Q151:Q152"/>
    <mergeCell ref="R151:R152"/>
    <mergeCell ref="K153:K154"/>
    <mergeCell ref="Q153:Q154"/>
    <mergeCell ref="R153:R154"/>
    <mergeCell ref="K143:K144"/>
    <mergeCell ref="Q143:Q144"/>
    <mergeCell ref="R143:R144"/>
    <mergeCell ref="K145:K146"/>
    <mergeCell ref="Q145:Q146"/>
    <mergeCell ref="R145:R146"/>
    <mergeCell ref="K147:K148"/>
    <mergeCell ref="Q147:Q148"/>
    <mergeCell ref="R147:R148"/>
    <mergeCell ref="K133:K134"/>
    <mergeCell ref="Q133:Q134"/>
    <mergeCell ref="R133:R134"/>
    <mergeCell ref="K127:K128"/>
    <mergeCell ref="Q127:Q128"/>
    <mergeCell ref="R127:R128"/>
    <mergeCell ref="K129:K130"/>
    <mergeCell ref="Q129:Q130"/>
    <mergeCell ref="R129:R130"/>
    <mergeCell ref="K131:K132"/>
    <mergeCell ref="Q131:Q132"/>
    <mergeCell ref="R131:R132"/>
    <mergeCell ref="K121:K122"/>
    <mergeCell ref="Q121:Q122"/>
    <mergeCell ref="R121:R122"/>
    <mergeCell ref="K123:K124"/>
    <mergeCell ref="Q123:Q124"/>
    <mergeCell ref="R123:R124"/>
    <mergeCell ref="K125:K126"/>
    <mergeCell ref="Q125:Q126"/>
    <mergeCell ref="R125:R126"/>
    <mergeCell ref="K115:K116"/>
    <mergeCell ref="Q115:Q116"/>
    <mergeCell ref="R115:R116"/>
    <mergeCell ref="K117:K118"/>
    <mergeCell ref="Q117:Q118"/>
    <mergeCell ref="R117:R118"/>
    <mergeCell ref="K119:K120"/>
    <mergeCell ref="Q119:Q120"/>
    <mergeCell ref="R119:R120"/>
    <mergeCell ref="K97:K98"/>
    <mergeCell ref="K91:K92"/>
    <mergeCell ref="K93:K94"/>
    <mergeCell ref="K103:K104"/>
    <mergeCell ref="K105:K106"/>
    <mergeCell ref="K99:K100"/>
    <mergeCell ref="K101:K102"/>
    <mergeCell ref="K65:K66"/>
    <mergeCell ref="K71:K72"/>
    <mergeCell ref="K73:K74"/>
    <mergeCell ref="K67:K68"/>
    <mergeCell ref="K69:K70"/>
    <mergeCell ref="K87:K88"/>
    <mergeCell ref="K89:K90"/>
    <mergeCell ref="K75:K76"/>
    <mergeCell ref="K77:K78"/>
    <mergeCell ref="K95:K96"/>
    <mergeCell ref="K39:K40"/>
    <mergeCell ref="K41:K42"/>
    <mergeCell ref="K35:K36"/>
    <mergeCell ref="K37:K38"/>
    <mergeCell ref="K47:K48"/>
    <mergeCell ref="K49:K50"/>
    <mergeCell ref="K43:K44"/>
    <mergeCell ref="K45:K46"/>
    <mergeCell ref="K63:K64"/>
    <mergeCell ref="K59:K60"/>
    <mergeCell ref="K61:K62"/>
    <mergeCell ref="K3:K4"/>
    <mergeCell ref="K5:K6"/>
    <mergeCell ref="K7:K8"/>
    <mergeCell ref="K9:K10"/>
    <mergeCell ref="K11:K12"/>
    <mergeCell ref="K31:K32"/>
    <mergeCell ref="K33:K34"/>
    <mergeCell ref="K13:K14"/>
    <mergeCell ref="K15:K16"/>
    <mergeCell ref="K17:K18"/>
    <mergeCell ref="K19:K20"/>
    <mergeCell ref="K21:K22"/>
    <mergeCell ref="Q3:Q4"/>
    <mergeCell ref="R3:R4"/>
    <mergeCell ref="Q5:Q6"/>
    <mergeCell ref="R5:R6"/>
    <mergeCell ref="Q7:Q8"/>
    <mergeCell ref="R7:R8"/>
    <mergeCell ref="Q9:Q10"/>
    <mergeCell ref="R9:R10"/>
    <mergeCell ref="Q11:Q12"/>
    <mergeCell ref="R11:R12"/>
    <mergeCell ref="Q13:Q14"/>
    <mergeCell ref="R13:R14"/>
    <mergeCell ref="Q15:Q16"/>
    <mergeCell ref="R15:R16"/>
    <mergeCell ref="Q17:Q18"/>
    <mergeCell ref="R17:R18"/>
    <mergeCell ref="Q19:Q20"/>
    <mergeCell ref="R19:R20"/>
    <mergeCell ref="Q21:Q22"/>
    <mergeCell ref="R21:R22"/>
    <mergeCell ref="Q31:Q32"/>
    <mergeCell ref="R31:R32"/>
    <mergeCell ref="Q33:Q34"/>
    <mergeCell ref="R33:R34"/>
    <mergeCell ref="Q35:Q36"/>
    <mergeCell ref="R35:R36"/>
    <mergeCell ref="Q37:Q38"/>
    <mergeCell ref="R37:R38"/>
    <mergeCell ref="Q39:Q40"/>
    <mergeCell ref="R39:R40"/>
    <mergeCell ref="Q41:Q42"/>
    <mergeCell ref="Q43:Q44"/>
    <mergeCell ref="Q45:Q46"/>
    <mergeCell ref="Q47:Q48"/>
    <mergeCell ref="Q49:Q50"/>
    <mergeCell ref="R49:R50"/>
    <mergeCell ref="R47:R48"/>
    <mergeCell ref="R45:R46"/>
    <mergeCell ref="R43:R44"/>
    <mergeCell ref="R41:R42"/>
    <mergeCell ref="Q59:Q60"/>
    <mergeCell ref="R59:R60"/>
    <mergeCell ref="Q61:Q62"/>
    <mergeCell ref="R61:R62"/>
    <mergeCell ref="Q63:Q64"/>
    <mergeCell ref="R63:R64"/>
    <mergeCell ref="Q65:Q66"/>
    <mergeCell ref="R65:R66"/>
    <mergeCell ref="Q67:Q68"/>
    <mergeCell ref="R67:R68"/>
    <mergeCell ref="Q69:Q70"/>
    <mergeCell ref="R69:R70"/>
    <mergeCell ref="Q71:Q72"/>
    <mergeCell ref="R71:R72"/>
    <mergeCell ref="Q73:Q74"/>
    <mergeCell ref="R73:R74"/>
    <mergeCell ref="Q75:Q76"/>
    <mergeCell ref="R75:R76"/>
    <mergeCell ref="Q77:Q78"/>
    <mergeCell ref="R77:R78"/>
    <mergeCell ref="R87:R88"/>
    <mergeCell ref="Q87:Q88"/>
    <mergeCell ref="Q89:Q90"/>
    <mergeCell ref="R89:R90"/>
    <mergeCell ref="Q91:Q92"/>
    <mergeCell ref="R91:R92"/>
    <mergeCell ref="Q93:Q94"/>
    <mergeCell ref="R93:R94"/>
    <mergeCell ref="Q95:Q96"/>
    <mergeCell ref="R95:R96"/>
    <mergeCell ref="Q97:Q98"/>
    <mergeCell ref="R97:R98"/>
    <mergeCell ref="Q99:Q100"/>
    <mergeCell ref="R99:R100"/>
    <mergeCell ref="Q101:Q102"/>
    <mergeCell ref="R101:R102"/>
    <mergeCell ref="Q103:Q104"/>
    <mergeCell ref="R103:R104"/>
    <mergeCell ref="Q105:Q106"/>
    <mergeCell ref="R105:R10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3"/>
  <sheetViews>
    <sheetView workbookViewId="0">
      <selection activeCell="J2" sqref="J2:N11"/>
    </sheetView>
  </sheetViews>
  <sheetFormatPr baseColWidth="10" defaultRowHeight="15" x14ac:dyDescent="0.15"/>
  <cols>
    <col min="1" max="1" width="15.5" customWidth="1"/>
    <col min="2" max="2" width="17" customWidth="1"/>
    <col min="3" max="3" width="19.1640625" customWidth="1"/>
    <col min="4" max="4" width="14.83203125" customWidth="1"/>
    <col min="5" max="5" width="15.83203125" customWidth="1"/>
    <col min="6" max="6" width="12.1640625" customWidth="1"/>
    <col min="7" max="7" width="10.83203125" style="24" customWidth="1"/>
    <col min="9" max="9" width="14.33203125" customWidth="1"/>
    <col min="10" max="10" width="17" customWidth="1"/>
    <col min="11" max="11" width="19.1640625" customWidth="1"/>
    <col min="12" max="12" width="14.83203125" customWidth="1"/>
    <col min="13" max="13" width="15.83203125" customWidth="1"/>
    <col min="14" max="14" width="12.1640625" customWidth="1"/>
    <col min="17" max="17" width="14.33203125" customWidth="1"/>
    <col min="18" max="18" width="17" customWidth="1"/>
    <col min="19" max="19" width="19.1640625" customWidth="1"/>
    <col min="20" max="20" width="14.83203125" customWidth="1"/>
    <col min="21" max="21" width="15.83203125" customWidth="1"/>
    <col min="22" max="22" width="12.1640625" customWidth="1"/>
    <col min="25" max="25" width="14.33203125" customWidth="1"/>
    <col min="26" max="26" width="17" customWidth="1"/>
    <col min="27" max="27" width="19.1640625" customWidth="1"/>
    <col min="28" max="28" width="14.83203125" customWidth="1"/>
    <col min="29" max="29" width="15.83203125" customWidth="1"/>
    <col min="30" max="30" width="12.1640625" customWidth="1"/>
    <col min="33" max="33" width="14.33203125" customWidth="1"/>
    <col min="34" max="34" width="17" customWidth="1"/>
    <col min="35" max="35" width="19.1640625" customWidth="1"/>
    <col min="36" max="36" width="14.83203125" customWidth="1"/>
    <col min="37" max="37" width="15.83203125" customWidth="1"/>
    <col min="38" max="38" width="12.1640625" customWidth="1"/>
    <col min="41" max="41" width="14.33203125" customWidth="1"/>
    <col min="42" max="42" width="17" customWidth="1"/>
    <col min="43" max="43" width="19.1640625" customWidth="1"/>
    <col min="44" max="44" width="14.83203125" customWidth="1"/>
    <col min="45" max="45" width="15.83203125" customWidth="1"/>
    <col min="46" max="46" width="12.1640625" customWidth="1"/>
  </cols>
  <sheetData>
    <row r="1" spans="1:46" x14ac:dyDescent="0.15">
      <c r="A1" s="23" t="s">
        <v>48</v>
      </c>
      <c r="B1" s="15" t="s">
        <v>42</v>
      </c>
      <c r="C1" s="15" t="s">
        <v>41</v>
      </c>
      <c r="D1" s="15" t="s">
        <v>40</v>
      </c>
      <c r="E1" s="16" t="s">
        <v>43</v>
      </c>
      <c r="F1" s="15" t="s">
        <v>39</v>
      </c>
      <c r="H1" s="14"/>
      <c r="I1" s="23" t="s">
        <v>50</v>
      </c>
      <c r="J1" s="17" t="s">
        <v>42</v>
      </c>
      <c r="K1" s="17" t="s">
        <v>41</v>
      </c>
      <c r="L1" s="17" t="s">
        <v>40</v>
      </c>
      <c r="M1" s="17" t="s">
        <v>43</v>
      </c>
      <c r="N1" s="37" t="s">
        <v>39</v>
      </c>
      <c r="Q1" s="23" t="s">
        <v>49</v>
      </c>
      <c r="R1" s="17" t="s">
        <v>42</v>
      </c>
      <c r="S1" s="17" t="s">
        <v>41</v>
      </c>
      <c r="T1" s="17" t="s">
        <v>40</v>
      </c>
      <c r="U1" s="17" t="s">
        <v>43</v>
      </c>
      <c r="V1" s="37" t="s">
        <v>39</v>
      </c>
      <c r="Y1" s="23" t="s">
        <v>51</v>
      </c>
      <c r="Z1" s="17" t="s">
        <v>42</v>
      </c>
      <c r="AA1" s="17" t="s">
        <v>41</v>
      </c>
      <c r="AB1" s="17" t="s">
        <v>40</v>
      </c>
      <c r="AC1" s="17" t="s">
        <v>43</v>
      </c>
      <c r="AD1" s="37" t="s">
        <v>39</v>
      </c>
      <c r="AG1" s="23" t="s">
        <v>343</v>
      </c>
      <c r="AH1" s="44" t="s">
        <v>42</v>
      </c>
      <c r="AI1" s="44" t="s">
        <v>41</v>
      </c>
      <c r="AJ1" s="44" t="s">
        <v>40</v>
      </c>
      <c r="AK1" s="44" t="s">
        <v>43</v>
      </c>
      <c r="AL1" s="44" t="s">
        <v>39</v>
      </c>
      <c r="AO1" s="23" t="s">
        <v>345</v>
      </c>
      <c r="AP1" s="44" t="s">
        <v>42</v>
      </c>
      <c r="AQ1" s="44" t="s">
        <v>41</v>
      </c>
      <c r="AR1" s="44" t="s">
        <v>40</v>
      </c>
      <c r="AS1" s="44" t="s">
        <v>43</v>
      </c>
      <c r="AT1" s="44" t="s">
        <v>39</v>
      </c>
    </row>
    <row r="2" spans="1:46" x14ac:dyDescent="0.15">
      <c r="A2" s="15" t="s">
        <v>8</v>
      </c>
      <c r="B2" s="16">
        <f>freq_10!F17</f>
        <v>0.47763048881524439</v>
      </c>
      <c r="C2" s="16">
        <f>freq_10!G17</f>
        <v>0.54372981700753498</v>
      </c>
      <c r="D2" s="16">
        <f>freq_10!H17</f>
        <v>0.62521811001928551</v>
      </c>
      <c r="E2" s="4">
        <f>freq_10!I17</f>
        <v>0.56189107171378372</v>
      </c>
      <c r="F2" s="25">
        <f t="shared" ref="F2:F11" si="0">H59</f>
        <v>0.59199847999999999</v>
      </c>
      <c r="H2" s="14"/>
      <c r="I2" s="17" t="s">
        <v>8</v>
      </c>
      <c r="J2" s="17">
        <f>freq_10!F45</f>
        <v>0.553475935828877</v>
      </c>
      <c r="K2" s="17">
        <f>freq_10!G45</f>
        <v>0.58419497784342689</v>
      </c>
      <c r="L2" s="17">
        <f>freq_10!H45</f>
        <v>0.59642301710730949</v>
      </c>
      <c r="M2" s="4">
        <f>freq_10!I45</f>
        <v>0.53995157384987891</v>
      </c>
      <c r="N2" s="37">
        <f t="shared" ref="N2:N11" si="1">H59</f>
        <v>0.59199847999999999</v>
      </c>
      <c r="Q2" s="17" t="s">
        <v>8</v>
      </c>
      <c r="R2" s="17">
        <f>freq_10!F73</f>
        <v>0.38013067515496735</v>
      </c>
      <c r="S2" s="17">
        <f>freq_10!G73</f>
        <v>0.43312998592210228</v>
      </c>
      <c r="T2" s="17">
        <f>freq_10!H73</f>
        <v>0.49710766934129502</v>
      </c>
      <c r="U2" s="4">
        <f>freq_10!I73</f>
        <v>0.44571261340357038</v>
      </c>
      <c r="V2" s="37">
        <f t="shared" ref="V2:V11" si="2">H59</f>
        <v>0.59199847999999999</v>
      </c>
      <c r="Y2" s="17" t="s">
        <v>8</v>
      </c>
      <c r="Z2" s="40">
        <f>freq_10!F101</f>
        <v>0.65747648394421021</v>
      </c>
      <c r="AA2" s="40">
        <f>freq_10!G101</f>
        <v>0.70942028985507244</v>
      </c>
      <c r="AB2" s="40">
        <f>freq_10!H101</f>
        <v>0.75740131578947367</v>
      </c>
      <c r="AC2" s="41">
        <f>freq_10!I101</f>
        <v>0.71969080553295361</v>
      </c>
      <c r="AD2" s="37">
        <f t="shared" ref="AD2:AD11" si="3">H59</f>
        <v>0.59199847999999999</v>
      </c>
      <c r="AG2" s="44" t="s">
        <v>8</v>
      </c>
      <c r="AH2" s="40">
        <f>freq_10!F129</f>
        <v>0.41154462854088725</v>
      </c>
      <c r="AI2" s="40">
        <f>freq_10!G129</f>
        <v>0.46532045654082527</v>
      </c>
      <c r="AJ2" s="40">
        <f>freq_10!H129</f>
        <v>0.49476439790575916</v>
      </c>
      <c r="AK2" s="41">
        <f>freq_10!I129</f>
        <v>0.4486842105263158</v>
      </c>
      <c r="AL2" s="44">
        <f t="shared" ref="AL2:AL11" si="4">H59</f>
        <v>0.59199847999999999</v>
      </c>
      <c r="AO2" s="44" t="s">
        <v>8</v>
      </c>
      <c r="AP2" s="40">
        <f>freq_10!F157</f>
        <v>0.37026945201332123</v>
      </c>
      <c r="AQ2" s="40">
        <f>freq_10!G157</f>
        <v>0.42391789379741185</v>
      </c>
      <c r="AR2" s="40">
        <f>freq_10!H157</f>
        <v>0.50051072522982631</v>
      </c>
      <c r="AS2" s="41">
        <f>freq_10!I157</f>
        <v>0.45726728361458902</v>
      </c>
      <c r="AT2" s="44">
        <f t="shared" ref="AT2:AT11" si="5">H59</f>
        <v>0.59199847999999999</v>
      </c>
    </row>
    <row r="3" spans="1:46" x14ac:dyDescent="0.15">
      <c r="A3" s="15" t="s">
        <v>9</v>
      </c>
      <c r="B3" s="16">
        <f>freq_10!F18</f>
        <v>8.4714167357083675E-2</v>
      </c>
      <c r="C3" s="16">
        <f>freq_10!G18</f>
        <v>9.4187298170075345E-2</v>
      </c>
      <c r="D3" s="16">
        <f>freq_10!H18</f>
        <v>9.082560382036918E-2</v>
      </c>
      <c r="E3" s="4">
        <f>freq_10!I18</f>
        <v>8.6248203162434117E-2</v>
      </c>
      <c r="F3" s="25">
        <f t="shared" si="0"/>
        <v>0.12129602</v>
      </c>
      <c r="H3" s="14"/>
      <c r="I3" s="17" t="s">
        <v>9</v>
      </c>
      <c r="J3" s="17">
        <f>freq_10!F46</f>
        <v>8.4893048128342252E-2</v>
      </c>
      <c r="K3" s="17">
        <f>freq_10!G46</f>
        <v>9.8227474150664698E-2</v>
      </c>
      <c r="L3" s="17">
        <f>freq_10!H46</f>
        <v>9.0979782270606532E-2</v>
      </c>
      <c r="M3" s="4">
        <f>freq_10!I46</f>
        <v>8.9588377723970949E-2</v>
      </c>
      <c r="N3" s="37">
        <f t="shared" si="1"/>
        <v>0.12129602</v>
      </c>
      <c r="Q3" s="17" t="s">
        <v>9</v>
      </c>
      <c r="R3" s="17">
        <f>freq_10!F74</f>
        <v>8.946222147763444E-2</v>
      </c>
      <c r="S3" s="17">
        <f>freq_10!G74</f>
        <v>9.8076020647583292E-2</v>
      </c>
      <c r="T3" s="17">
        <f>freq_10!H74</f>
        <v>9.5353610748273934E-2</v>
      </c>
      <c r="U3" s="4">
        <f>freq_10!I74</f>
        <v>8.9259584430787242E-2</v>
      </c>
      <c r="V3" s="37">
        <f t="shared" si="2"/>
        <v>0.12129602</v>
      </c>
      <c r="Y3" s="17" t="s">
        <v>9</v>
      </c>
      <c r="Z3" s="40">
        <f>freq_10!F102</f>
        <v>7.719753486863444E-2</v>
      </c>
      <c r="AA3" s="40">
        <f>freq_10!G102</f>
        <v>8.5507246376811591E-2</v>
      </c>
      <c r="AB3" s="40">
        <f>freq_10!H102</f>
        <v>8.8199013157894732E-2</v>
      </c>
      <c r="AC3" s="41">
        <f>freq_10!I102</f>
        <v>7.8519121236777872E-2</v>
      </c>
      <c r="AD3" s="37">
        <f t="shared" si="3"/>
        <v>0.12129602</v>
      </c>
      <c r="AG3" s="44" t="s">
        <v>9</v>
      </c>
      <c r="AH3" s="40">
        <f>freq_10!F130</f>
        <v>9.2998396579369327E-2</v>
      </c>
      <c r="AI3" s="40">
        <f>freq_10!G130</f>
        <v>0.10008779631255488</v>
      </c>
      <c r="AJ3" s="40">
        <f>freq_10!H130</f>
        <v>9.7513089005235601E-2</v>
      </c>
      <c r="AK3" s="41">
        <f>freq_10!I130</f>
        <v>7.8947368421052627E-2</v>
      </c>
      <c r="AL3" s="44">
        <f t="shared" si="4"/>
        <v>0.12129602</v>
      </c>
      <c r="AO3" s="44" t="s">
        <v>9</v>
      </c>
      <c r="AP3" s="40">
        <f>freq_10!F158</f>
        <v>9.445958219800181E-2</v>
      </c>
      <c r="AQ3" s="40">
        <f>freq_10!G158</f>
        <v>9.4600624721106655E-2</v>
      </c>
      <c r="AR3" s="40">
        <f>freq_10!H158</f>
        <v>9.2611508341845422E-2</v>
      </c>
      <c r="AS3" s="41">
        <f>freq_10!I158</f>
        <v>8.5465432770821997E-2</v>
      </c>
      <c r="AT3" s="44">
        <f t="shared" si="5"/>
        <v>0.12129602</v>
      </c>
    </row>
    <row r="4" spans="1:46" x14ac:dyDescent="0.15">
      <c r="A4" s="15" t="s">
        <v>10</v>
      </c>
      <c r="B4" s="16">
        <f>freq_10!F19</f>
        <v>5.5613090306545154E-2</v>
      </c>
      <c r="C4" s="16">
        <f>freq_10!G19</f>
        <v>6.0145317545748117E-2</v>
      </c>
      <c r="D4" s="16">
        <f>freq_10!H19</f>
        <v>5.1152539259803474E-2</v>
      </c>
      <c r="E4" s="4">
        <f>freq_10!I19</f>
        <v>4.9033700686791248E-2</v>
      </c>
      <c r="F4" s="25">
        <f t="shared" si="0"/>
        <v>7.1249094999999998E-2</v>
      </c>
      <c r="H4" s="14"/>
      <c r="I4" s="17" t="s">
        <v>10</v>
      </c>
      <c r="J4" s="17">
        <f>freq_10!F47</f>
        <v>5.213903743315508E-2</v>
      </c>
      <c r="K4" s="17">
        <f>freq_10!G47</f>
        <v>5.5391432791728215E-2</v>
      </c>
      <c r="L4" s="17">
        <f>freq_10!H47</f>
        <v>5.3654743390357695E-2</v>
      </c>
      <c r="M4" s="4">
        <f>freq_10!I47</f>
        <v>5.9322033898305086E-2</v>
      </c>
      <c r="N4" s="37">
        <f t="shared" si="1"/>
        <v>7.1249094999999998E-2</v>
      </c>
      <c r="Q4" s="17" t="s">
        <v>10</v>
      </c>
      <c r="R4" s="17">
        <f>freq_10!F75</f>
        <v>6.1986932484503265E-2</v>
      </c>
      <c r="S4" s="17">
        <f>freq_10!G75</f>
        <v>6.6870014077897694E-2</v>
      </c>
      <c r="T4" s="17">
        <f>freq_10!H75</f>
        <v>6.0272438887852213E-2</v>
      </c>
      <c r="U4" s="4">
        <f>freq_10!I75</f>
        <v>5.8823529411764705E-2</v>
      </c>
      <c r="V4" s="37">
        <f t="shared" si="2"/>
        <v>7.1249094999999998E-2</v>
      </c>
      <c r="Y4" s="17" t="s">
        <v>10</v>
      </c>
      <c r="Z4" s="40">
        <f>freq_10!F103</f>
        <v>4.4112877067791115E-2</v>
      </c>
      <c r="AA4" s="40">
        <f>freq_10!G103</f>
        <v>5.0362318840579713E-2</v>
      </c>
      <c r="AB4" s="40">
        <f>freq_10!H103</f>
        <v>4.3379934210526314E-2</v>
      </c>
      <c r="AC4" s="41">
        <f>freq_10!I103</f>
        <v>3.8649308380797394E-2</v>
      </c>
      <c r="AD4" s="37">
        <f t="shared" si="3"/>
        <v>7.1249094999999998E-2</v>
      </c>
      <c r="AG4" s="44" t="s">
        <v>10</v>
      </c>
      <c r="AH4" s="40">
        <f>freq_10!F131</f>
        <v>5.2912880812399789E-2</v>
      </c>
      <c r="AI4" s="40">
        <f>freq_10!G131</f>
        <v>6.4091308165057065E-2</v>
      </c>
      <c r="AJ4" s="40">
        <f>freq_10!H131</f>
        <v>5.9554973821989529E-2</v>
      </c>
      <c r="AK4" s="41">
        <f>freq_10!I131</f>
        <v>5.921052631578947E-2</v>
      </c>
      <c r="AL4" s="44">
        <f t="shared" si="4"/>
        <v>7.1249094999999998E-2</v>
      </c>
      <c r="AO4" s="44" t="s">
        <v>10</v>
      </c>
      <c r="AP4" s="40">
        <f>freq_10!F159</f>
        <v>5.9037238873751133E-2</v>
      </c>
      <c r="AQ4" s="40">
        <f>freq_10!G159</f>
        <v>6.9611780455153954E-2</v>
      </c>
      <c r="AR4" s="40">
        <f>freq_10!H159</f>
        <v>5.8222676200204292E-2</v>
      </c>
      <c r="AS4" s="41">
        <f>freq_10!I159</f>
        <v>6.1513336962438755E-2</v>
      </c>
      <c r="AT4" s="44">
        <f t="shared" si="5"/>
        <v>7.1249094999999998E-2</v>
      </c>
    </row>
    <row r="5" spans="1:46" x14ac:dyDescent="0.15">
      <c r="A5" s="15" t="s">
        <v>11</v>
      </c>
      <c r="B5" s="16">
        <f>freq_10!F20</f>
        <v>4.1114333057166531E-2</v>
      </c>
      <c r="C5" s="16">
        <f>freq_10!G20</f>
        <v>4.0500538213132403E-2</v>
      </c>
      <c r="D5" s="16">
        <f>freq_10!H20</f>
        <v>3.4805767288088894E-2</v>
      </c>
      <c r="E5" s="4">
        <f>freq_10!I20</f>
        <v>3.8811691423095353E-2</v>
      </c>
      <c r="F5" s="25">
        <f t="shared" si="0"/>
        <v>5.1756445999999998E-2</v>
      </c>
      <c r="H5" s="14"/>
      <c r="I5" s="17" t="s">
        <v>11</v>
      </c>
      <c r="J5" s="17">
        <f>freq_10!F48</f>
        <v>3.6096256684491977E-2</v>
      </c>
      <c r="K5" s="17">
        <f>freq_10!G48</f>
        <v>3.2496307237813882E-2</v>
      </c>
      <c r="L5" s="17">
        <f>freq_10!H48</f>
        <v>3.8880248833592534E-2</v>
      </c>
      <c r="M5" s="4">
        <f>freq_10!I48</f>
        <v>4.3583535108958835E-2</v>
      </c>
      <c r="N5" s="37">
        <f t="shared" si="1"/>
        <v>5.1756445999999998E-2</v>
      </c>
      <c r="Q5" s="17" t="s">
        <v>11</v>
      </c>
      <c r="R5" s="17">
        <f>freq_10!F76</f>
        <v>4.7746691238063327E-2</v>
      </c>
      <c r="S5" s="17">
        <f>freq_10!G76</f>
        <v>5.0680431722196155E-2</v>
      </c>
      <c r="T5" s="17">
        <f>freq_10!H76</f>
        <v>4.6837096473222616E-2</v>
      </c>
      <c r="U5" s="4">
        <f>freq_10!I76</f>
        <v>4.8873280655545803E-2</v>
      </c>
      <c r="V5" s="37">
        <f t="shared" si="2"/>
        <v>5.1756445999999998E-2</v>
      </c>
      <c r="Y5" s="17" t="s">
        <v>11</v>
      </c>
      <c r="Z5" s="40">
        <f>freq_10!F104</f>
        <v>2.7570548167369445E-2</v>
      </c>
      <c r="AA5" s="40">
        <f>freq_10!G104</f>
        <v>2.6449275362318839E-2</v>
      </c>
      <c r="AB5" s="40">
        <f>freq_10!H104</f>
        <v>2.2615131578947369E-2</v>
      </c>
      <c r="AC5" s="41">
        <f>freq_10!I104</f>
        <v>2.6851098454027666E-2</v>
      </c>
      <c r="AD5" s="37">
        <f t="shared" si="3"/>
        <v>5.1756445999999998E-2</v>
      </c>
      <c r="AG5" s="44" t="s">
        <v>11</v>
      </c>
      <c r="AH5" s="40">
        <f>freq_10!F132</f>
        <v>4.7033671833244257E-2</v>
      </c>
      <c r="AI5" s="40">
        <f>freq_10!G132</f>
        <v>5.7945566286215978E-2</v>
      </c>
      <c r="AJ5" s="40">
        <f>freq_10!H132</f>
        <v>4.9083769633507857E-2</v>
      </c>
      <c r="AK5" s="41">
        <f>freq_10!I132</f>
        <v>4.0789473684210528E-2</v>
      </c>
      <c r="AL5" s="44">
        <f t="shared" si="4"/>
        <v>5.1756445999999998E-2</v>
      </c>
      <c r="AO5" s="44" t="s">
        <v>11</v>
      </c>
      <c r="AP5" s="40">
        <f>freq_10!F160</f>
        <v>4.6927036027853468E-2</v>
      </c>
      <c r="AQ5" s="40">
        <f>freq_10!G160</f>
        <v>4.9085229808121376E-2</v>
      </c>
      <c r="AR5" s="40">
        <f>freq_10!H160</f>
        <v>4.49438202247191E-2</v>
      </c>
      <c r="AS5" s="41">
        <f>freq_10!I160</f>
        <v>4.5182362547632006E-2</v>
      </c>
      <c r="AT5" s="44">
        <f t="shared" si="5"/>
        <v>5.1756445999999998E-2</v>
      </c>
    </row>
    <row r="6" spans="1:46" x14ac:dyDescent="0.15">
      <c r="A6" s="15" t="s">
        <v>12</v>
      </c>
      <c r="B6" s="16">
        <f>freq_10!F21</f>
        <v>4.2149958574979288E-2</v>
      </c>
      <c r="C6" s="16">
        <f>freq_10!G21</f>
        <v>3.6733046286329389E-2</v>
      </c>
      <c r="D6" s="16">
        <f>freq_10!H21</f>
        <v>3.0673156396363303E-2</v>
      </c>
      <c r="E6" s="4">
        <f>freq_10!I21</f>
        <v>3.6415908001916623E-2</v>
      </c>
      <c r="F6" s="25">
        <f t="shared" si="0"/>
        <v>3.9957226999999998E-2</v>
      </c>
      <c r="H6" s="14"/>
      <c r="I6" s="17" t="s">
        <v>12</v>
      </c>
      <c r="J6" s="17">
        <f>freq_10!F49</f>
        <v>3.6764705882352942E-2</v>
      </c>
      <c r="K6" s="17">
        <f>freq_10!G49</f>
        <v>3.6927621861152143E-2</v>
      </c>
      <c r="L6" s="17">
        <f>freq_10!H49</f>
        <v>3.4992223950233284E-2</v>
      </c>
      <c r="M6" s="4">
        <f>freq_10!I49</f>
        <v>3.5108958837772396E-2</v>
      </c>
      <c r="N6" s="37">
        <f t="shared" si="1"/>
        <v>3.9957226999999998E-2</v>
      </c>
      <c r="Q6" s="17" t="s">
        <v>12</v>
      </c>
      <c r="R6" s="17">
        <f>freq_10!F77</f>
        <v>4.5736304238565922E-2</v>
      </c>
      <c r="S6" s="17">
        <f>freq_10!G77</f>
        <v>4.3641482871891131E-2</v>
      </c>
      <c r="T6" s="17">
        <f>freq_10!H77</f>
        <v>4.1612241089755551E-2</v>
      </c>
      <c r="U6" s="4">
        <f>freq_10!I77</f>
        <v>4.6824700029265434E-2</v>
      </c>
      <c r="V6" s="37">
        <f t="shared" si="2"/>
        <v>3.9957226999999998E-2</v>
      </c>
      <c r="Y6" s="17" t="s">
        <v>12</v>
      </c>
      <c r="Z6" s="40">
        <f>freq_10!F105</f>
        <v>3.6328251702886796E-2</v>
      </c>
      <c r="AA6" s="40">
        <f>freq_10!G105</f>
        <v>2.6086956521739129E-2</v>
      </c>
      <c r="AB6" s="40">
        <f>freq_10!H105</f>
        <v>1.8708881578947369E-2</v>
      </c>
      <c r="AC6" s="41">
        <f>freq_10!I105</f>
        <v>2.2782750203417412E-2</v>
      </c>
      <c r="AD6" s="37">
        <f t="shared" si="3"/>
        <v>3.9957226999999998E-2</v>
      </c>
      <c r="AG6" s="44" t="s">
        <v>12</v>
      </c>
      <c r="AH6" s="40">
        <f>freq_10!F133</f>
        <v>5.3981827899518976E-2</v>
      </c>
      <c r="AI6" s="40">
        <f>freq_10!G133</f>
        <v>3.6874451273046532E-2</v>
      </c>
      <c r="AJ6" s="40">
        <f>freq_10!H133</f>
        <v>4.6465968586387435E-2</v>
      </c>
      <c r="AK6" s="41">
        <f>freq_10!I133</f>
        <v>4.2105263157894736E-2</v>
      </c>
      <c r="AL6" s="44">
        <f t="shared" si="4"/>
        <v>3.9957226999999998E-2</v>
      </c>
      <c r="AO6" s="44" t="s">
        <v>12</v>
      </c>
      <c r="AP6" s="40">
        <f>freq_10!F161</f>
        <v>4.5413260672116255E-2</v>
      </c>
      <c r="AQ6" s="40">
        <f>freq_10!G161</f>
        <v>4.2838018741633198E-2</v>
      </c>
      <c r="AR6" s="40">
        <f>freq_10!H161</f>
        <v>4.1879468845760978E-2</v>
      </c>
      <c r="AS6" s="41">
        <f>freq_10!I161</f>
        <v>4.4093630919978227E-2</v>
      </c>
      <c r="AT6" s="44">
        <f t="shared" si="5"/>
        <v>3.9957226999999998E-2</v>
      </c>
    </row>
    <row r="7" spans="1:46" x14ac:dyDescent="0.15">
      <c r="A7" s="15" t="s">
        <v>13</v>
      </c>
      <c r="B7" s="16">
        <f>freq_10!F22</f>
        <v>4.1528583264291631E-2</v>
      </c>
      <c r="C7" s="16">
        <f>freq_10!G22</f>
        <v>3.3369214208826693E-2</v>
      </c>
      <c r="D7" s="16">
        <f>freq_10!H22</f>
        <v>2.5530351731104784E-2</v>
      </c>
      <c r="E7" s="4">
        <f>freq_10!I22</f>
        <v>3.7853378054623861E-2</v>
      </c>
      <c r="F7" s="25">
        <f t="shared" si="0"/>
        <v>3.2549622E-2</v>
      </c>
      <c r="H7" s="14"/>
      <c r="I7" s="17" t="s">
        <v>13</v>
      </c>
      <c r="J7" s="17">
        <f>freq_10!F50</f>
        <v>2.4732620320855617E-2</v>
      </c>
      <c r="K7" s="17">
        <f>freq_10!G50</f>
        <v>2.8064992614475627E-2</v>
      </c>
      <c r="L7" s="17">
        <f>freq_10!H50</f>
        <v>2.0995334370139968E-2</v>
      </c>
      <c r="M7" s="4">
        <f>freq_10!I50</f>
        <v>4.1162227602905568E-2</v>
      </c>
      <c r="N7" s="37">
        <f t="shared" si="1"/>
        <v>3.2549622E-2</v>
      </c>
      <c r="Q7" s="17" t="s">
        <v>13</v>
      </c>
      <c r="R7" s="17">
        <f>freq_10!F78</f>
        <v>5.1097336237225663E-2</v>
      </c>
      <c r="S7" s="17">
        <f>freq_10!G78</f>
        <v>4.4345377756921635E-2</v>
      </c>
      <c r="T7" s="17">
        <f>freq_10!H78</f>
        <v>3.6760589662250417E-2</v>
      </c>
      <c r="U7" s="4">
        <f>freq_10!I78</f>
        <v>4.5946736903716708E-2</v>
      </c>
      <c r="V7" s="37">
        <f t="shared" si="2"/>
        <v>3.2549622E-2</v>
      </c>
      <c r="Y7" s="17" t="s">
        <v>13</v>
      </c>
      <c r="Z7" s="40">
        <f>freq_10!F106</f>
        <v>2.2056438533895557E-2</v>
      </c>
      <c r="AA7" s="40">
        <f>freq_10!G106</f>
        <v>1.7753623188405798E-2</v>
      </c>
      <c r="AB7" s="40">
        <f>freq_10!H106</f>
        <v>1.3980263157894737E-2</v>
      </c>
      <c r="AC7" s="41">
        <f>freq_10!I106</f>
        <v>2.7664768104149716E-2</v>
      </c>
      <c r="AD7" s="37">
        <f t="shared" si="3"/>
        <v>3.2549622E-2</v>
      </c>
      <c r="AG7" s="44" t="s">
        <v>13</v>
      </c>
      <c r="AH7" s="40">
        <f>freq_10!F134</f>
        <v>4.9171566007482632E-2</v>
      </c>
      <c r="AI7" s="40">
        <f>freq_10!G134</f>
        <v>3.7752414398595259E-2</v>
      </c>
      <c r="AJ7" s="40">
        <f>freq_10!H134</f>
        <v>3.0104712041884817E-2</v>
      </c>
      <c r="AK7" s="41">
        <f>freq_10!I134</f>
        <v>3.9473684210526314E-2</v>
      </c>
      <c r="AL7" s="44">
        <f t="shared" si="4"/>
        <v>3.2549622E-2</v>
      </c>
      <c r="AO7" s="44" t="s">
        <v>13</v>
      </c>
      <c r="AP7" s="40">
        <f>freq_10!F162</f>
        <v>4.9954586739327886E-2</v>
      </c>
      <c r="AQ7" s="40">
        <f>freq_10!G162</f>
        <v>4.5069165551093263E-2</v>
      </c>
      <c r="AR7" s="40">
        <f>freq_10!H162</f>
        <v>3.5750766087844742E-2</v>
      </c>
      <c r="AS7" s="41">
        <f>freq_10!I162</f>
        <v>4.463799673380512E-2</v>
      </c>
      <c r="AT7" s="44">
        <f t="shared" si="5"/>
        <v>3.2549622E-2</v>
      </c>
    </row>
    <row r="8" spans="1:46" x14ac:dyDescent="0.15">
      <c r="A8" s="15" t="s">
        <v>14</v>
      </c>
      <c r="B8" s="16">
        <f>freq_10!F23</f>
        <v>3.2104391052195529E-2</v>
      </c>
      <c r="C8" s="16">
        <f>freq_10!G23</f>
        <v>2.2604951560818085E-2</v>
      </c>
      <c r="D8" s="16">
        <f>freq_10!H23</f>
        <v>2.2775277803287721E-2</v>
      </c>
      <c r="E8" s="4">
        <f>freq_10!I23</f>
        <v>2.8589682159399457E-2</v>
      </c>
      <c r="F8" s="25">
        <f t="shared" si="0"/>
        <v>2.7463002E-2</v>
      </c>
      <c r="H8" s="14"/>
      <c r="I8" s="17" t="s">
        <v>14</v>
      </c>
      <c r="J8" s="17">
        <f>freq_10!F51</f>
        <v>2.339572192513369E-2</v>
      </c>
      <c r="K8" s="17">
        <f>freq_10!G51</f>
        <v>2.58493353028065E-2</v>
      </c>
      <c r="L8" s="17">
        <f>freq_10!H51</f>
        <v>2.3328149300155521E-2</v>
      </c>
      <c r="M8" s="4">
        <f>freq_10!I51</f>
        <v>3.5108958837772396E-2</v>
      </c>
      <c r="N8" s="37">
        <f t="shared" si="1"/>
        <v>2.7463002E-2</v>
      </c>
      <c r="Q8" s="17" t="s">
        <v>14</v>
      </c>
      <c r="R8" s="17">
        <f>freq_10!F79</f>
        <v>3.937007874015748E-2</v>
      </c>
      <c r="S8" s="17">
        <f>freq_10!G79</f>
        <v>3.026748005631159E-2</v>
      </c>
      <c r="T8" s="17">
        <f>freq_10!H79</f>
        <v>3.601418175032655E-2</v>
      </c>
      <c r="U8" s="4">
        <f>freq_10!I79</f>
        <v>4.009364940005853E-2</v>
      </c>
      <c r="V8" s="37">
        <f t="shared" si="2"/>
        <v>2.7463002E-2</v>
      </c>
      <c r="Y8" s="17" t="s">
        <v>14</v>
      </c>
      <c r="Z8" s="40">
        <f>freq_10!F107</f>
        <v>2.1083360363282518E-2</v>
      </c>
      <c r="AA8" s="40">
        <f>freq_10!G107</f>
        <v>1.0869565217391304E-2</v>
      </c>
      <c r="AB8" s="40">
        <f>freq_10!H107</f>
        <v>9.8684210526315784E-3</v>
      </c>
      <c r="AC8" s="41">
        <f>freq_10!I107</f>
        <v>1.3425549227013833E-2</v>
      </c>
      <c r="AD8" s="37">
        <f t="shared" si="3"/>
        <v>2.7463002E-2</v>
      </c>
      <c r="AG8" s="44" t="s">
        <v>14</v>
      </c>
      <c r="AH8" s="40">
        <f>freq_10!F135</f>
        <v>3.4206306787814E-2</v>
      </c>
      <c r="AI8" s="40">
        <f>freq_10!G135</f>
        <v>1.9315188762071993E-2</v>
      </c>
      <c r="AJ8" s="40">
        <f>freq_10!H135</f>
        <v>3.5340314136125657E-2</v>
      </c>
      <c r="AK8" s="41">
        <f>freq_10!I135</f>
        <v>5.131578947368421E-2</v>
      </c>
      <c r="AL8" s="44">
        <f t="shared" si="4"/>
        <v>2.7463002E-2</v>
      </c>
      <c r="AO8" s="44" t="s">
        <v>14</v>
      </c>
      <c r="AP8" s="40">
        <f>freq_10!F163</f>
        <v>3.5422343324250684E-2</v>
      </c>
      <c r="AQ8" s="40">
        <f>freq_10!G163</f>
        <v>3.2128514056224897E-2</v>
      </c>
      <c r="AR8" s="40">
        <f>freq_10!H163</f>
        <v>3.8815117466802863E-2</v>
      </c>
      <c r="AS8" s="41">
        <f>freq_10!I163</f>
        <v>4.0827436037016877E-2</v>
      </c>
      <c r="AT8" s="44">
        <f t="shared" si="5"/>
        <v>2.7463002E-2</v>
      </c>
    </row>
    <row r="9" spans="1:46" x14ac:dyDescent="0.15">
      <c r="A9" s="15" t="s">
        <v>15</v>
      </c>
      <c r="B9" s="16">
        <f>freq_10!F24</f>
        <v>3.5211267605633804E-2</v>
      </c>
      <c r="C9" s="16">
        <f>freq_10!G24</f>
        <v>2.6506996770721207E-2</v>
      </c>
      <c r="D9" s="16">
        <f>freq_10!H24</f>
        <v>2.6265038111856001E-2</v>
      </c>
      <c r="E9" s="4">
        <f>freq_10!I24</f>
        <v>3.6096470212426131E-2</v>
      </c>
      <c r="F9" s="25">
        <f t="shared" si="0"/>
        <v>2.3753079999999999E-2</v>
      </c>
      <c r="H9" s="14"/>
      <c r="I9" s="17" t="s">
        <v>15</v>
      </c>
      <c r="J9" s="17">
        <f>freq_10!F52</f>
        <v>3.6096256684491977E-2</v>
      </c>
      <c r="K9" s="17">
        <f>freq_10!G52</f>
        <v>2.3633677991137372E-2</v>
      </c>
      <c r="L9" s="17">
        <f>freq_10!H52</f>
        <v>2.410575427682737E-2</v>
      </c>
      <c r="M9" s="4">
        <f>freq_10!I52</f>
        <v>3.5108958837772396E-2</v>
      </c>
      <c r="N9" s="37">
        <f t="shared" si="1"/>
        <v>2.3753079999999999E-2</v>
      </c>
      <c r="Q9" s="17" t="s">
        <v>15</v>
      </c>
      <c r="R9" s="17">
        <f>freq_10!F80</f>
        <v>4.4228513988942869E-2</v>
      </c>
      <c r="S9" s="17">
        <f>freq_10!G80</f>
        <v>3.6837165649929608E-2</v>
      </c>
      <c r="T9" s="17">
        <f>freq_10!H80</f>
        <v>3.8440007464079121E-2</v>
      </c>
      <c r="U9" s="4">
        <f>freq_10!I80</f>
        <v>5.1799824407374892E-2</v>
      </c>
      <c r="V9" s="37">
        <f t="shared" si="2"/>
        <v>2.3753079999999999E-2</v>
      </c>
      <c r="Y9" s="17" t="s">
        <v>15</v>
      </c>
      <c r="Z9" s="40">
        <f>freq_10!F108</f>
        <v>2.1407719753486862E-2</v>
      </c>
      <c r="AA9" s="40">
        <f>freq_10!G108</f>
        <v>1.2681159420289856E-2</v>
      </c>
      <c r="AB9" s="40">
        <f>freq_10!H108</f>
        <v>1.3569078947368422E-2</v>
      </c>
      <c r="AC9" s="41">
        <f>freq_10!I108</f>
        <v>1.4239218877135883E-2</v>
      </c>
      <c r="AD9" s="37">
        <f t="shared" si="3"/>
        <v>2.3753079999999999E-2</v>
      </c>
      <c r="AG9" s="44" t="s">
        <v>15</v>
      </c>
      <c r="AH9" s="40">
        <f>freq_10!F136</f>
        <v>4.168893639764832E-2</v>
      </c>
      <c r="AI9" s="40">
        <f>freq_10!G136</f>
        <v>2.8094820017559263E-2</v>
      </c>
      <c r="AJ9" s="40">
        <f>freq_10!H136</f>
        <v>3.9267015706806283E-2</v>
      </c>
      <c r="AK9" s="41">
        <f>freq_10!I136</f>
        <v>4.2105263157894736E-2</v>
      </c>
      <c r="AL9" s="44">
        <f t="shared" si="4"/>
        <v>2.3753079999999999E-2</v>
      </c>
      <c r="AO9" s="44" t="s">
        <v>15</v>
      </c>
      <c r="AP9" s="40">
        <f>freq_10!F164</f>
        <v>4.0569179533757188E-2</v>
      </c>
      <c r="AQ9" s="40">
        <f>freq_10!G164</f>
        <v>3.8375725122713075E-2</v>
      </c>
      <c r="AR9" s="40">
        <f>freq_10!H164</f>
        <v>3.7453183520599252E-2</v>
      </c>
      <c r="AS9" s="41">
        <f>freq_10!I164</f>
        <v>4.6815459989112684E-2</v>
      </c>
      <c r="AT9" s="44">
        <f t="shared" si="5"/>
        <v>2.3753079999999999E-2</v>
      </c>
    </row>
    <row r="10" spans="1:46" x14ac:dyDescent="0.15">
      <c r="A10" s="15" t="s">
        <v>16</v>
      </c>
      <c r="B10" s="16">
        <f>freq_10!F25</f>
        <v>4.8363711681855839E-2</v>
      </c>
      <c r="C10" s="16">
        <f>freq_10!G25</f>
        <v>3.8078579117330466E-2</v>
      </c>
      <c r="D10" s="16">
        <f>freq_10!H25</f>
        <v>2.9846634218018184E-2</v>
      </c>
      <c r="E10" s="4">
        <f>freq_10!I25</f>
        <v>3.8651972528350106E-2</v>
      </c>
      <c r="F10" s="25">
        <f t="shared" si="0"/>
        <v>2.1120346000000002E-2</v>
      </c>
      <c r="H10" s="14"/>
      <c r="I10" s="17" t="s">
        <v>16</v>
      </c>
      <c r="J10" s="17">
        <f>freq_10!F53</f>
        <v>4.077540106951872E-2</v>
      </c>
      <c r="K10" s="17">
        <f>freq_10!G53</f>
        <v>3.0280649926144758E-2</v>
      </c>
      <c r="L10" s="17">
        <f>freq_10!H53</f>
        <v>2.4883359253499222E-2</v>
      </c>
      <c r="M10" s="4">
        <f>freq_10!I53</f>
        <v>2.784503631961259E-2</v>
      </c>
      <c r="N10" s="37">
        <f t="shared" si="1"/>
        <v>2.1120346000000002E-2</v>
      </c>
      <c r="Q10" s="17" t="s">
        <v>16</v>
      </c>
      <c r="R10" s="17">
        <f>freq_10!F81</f>
        <v>6.0814206734796449E-2</v>
      </c>
      <c r="S10" s="17">
        <f>freq_10!G81</f>
        <v>5.1149694978883151E-2</v>
      </c>
      <c r="T10" s="17">
        <f>freq_10!H81</f>
        <v>4.4784474715431982E-2</v>
      </c>
      <c r="U10" s="4">
        <f>freq_10!I81</f>
        <v>5.0336552531460348E-2</v>
      </c>
      <c r="V10" s="37">
        <f t="shared" si="2"/>
        <v>2.1120346000000002E-2</v>
      </c>
      <c r="Y10" s="17" t="s">
        <v>16</v>
      </c>
      <c r="Z10" s="40">
        <f>freq_10!F109</f>
        <v>2.4326954265325981E-2</v>
      </c>
      <c r="AA10" s="40">
        <f>freq_10!G109</f>
        <v>1.8840579710144929E-2</v>
      </c>
      <c r="AB10" s="40">
        <f>freq_10!H109</f>
        <v>1.2335526315789474E-2</v>
      </c>
      <c r="AC10" s="41">
        <f>freq_10!I109</f>
        <v>2.3189585028478437E-2</v>
      </c>
      <c r="AD10" s="37">
        <f t="shared" si="3"/>
        <v>2.1120346000000002E-2</v>
      </c>
      <c r="AG10" s="44" t="s">
        <v>16</v>
      </c>
      <c r="AH10" s="40">
        <f>freq_10!F137</f>
        <v>5.5585248530197758E-2</v>
      </c>
      <c r="AI10" s="40">
        <f>freq_10!G137</f>
        <v>5.2677787532923619E-2</v>
      </c>
      <c r="AJ10" s="40">
        <f>freq_10!H137</f>
        <v>4.253926701570681E-2</v>
      </c>
      <c r="AK10" s="41">
        <f>freq_10!I137</f>
        <v>6.1842105263157893E-2</v>
      </c>
      <c r="AL10" s="44">
        <f t="shared" si="4"/>
        <v>2.1120346000000002E-2</v>
      </c>
      <c r="AO10" s="44" t="s">
        <v>16</v>
      </c>
      <c r="AP10" s="40">
        <f>freq_10!F165</f>
        <v>6.3578564940962756E-2</v>
      </c>
      <c r="AQ10" s="40">
        <f>freq_10!G165</f>
        <v>5.176260597947345E-2</v>
      </c>
      <c r="AR10" s="40">
        <f>freq_10!H165</f>
        <v>4.7327204630575416E-2</v>
      </c>
      <c r="AS10" s="41">
        <f>freq_10!I165</f>
        <v>5.2803483941208491E-2</v>
      </c>
      <c r="AT10" s="44">
        <f t="shared" si="5"/>
        <v>2.1120346000000002E-2</v>
      </c>
    </row>
    <row r="11" spans="1:46" x14ac:dyDescent="0.15">
      <c r="A11" s="15" t="s">
        <v>17</v>
      </c>
      <c r="B11" s="16">
        <f>freq_10!F26</f>
        <v>0.14157000828500416</v>
      </c>
      <c r="C11" s="16">
        <f>freq_10!G26</f>
        <v>0.10414424111948331</v>
      </c>
      <c r="D11" s="16">
        <f>freq_10!H26</f>
        <v>6.290752135182294E-2</v>
      </c>
      <c r="E11" s="4">
        <f>freq_10!I26</f>
        <v>8.640792205717937E-2</v>
      </c>
      <c r="F11" s="25">
        <f t="shared" si="0"/>
        <v>1.8856681E-2</v>
      </c>
      <c r="H11" s="14"/>
      <c r="I11" s="17" t="s">
        <v>17</v>
      </c>
      <c r="J11" s="17">
        <f>freq_10!F54</f>
        <v>0.11163101604278075</v>
      </c>
      <c r="K11" s="17">
        <f>freq_10!G54</f>
        <v>8.4933530280649927E-2</v>
      </c>
      <c r="L11" s="17">
        <f>freq_10!H54</f>
        <v>9.1757387247278388E-2</v>
      </c>
      <c r="M11" s="4">
        <f>freq_10!I54</f>
        <v>9.3220338983050849E-2</v>
      </c>
      <c r="N11" s="37">
        <f t="shared" si="1"/>
        <v>1.8856681E-2</v>
      </c>
      <c r="Q11" s="17" t="s">
        <v>17</v>
      </c>
      <c r="R11" s="17">
        <f>freq_10!F82</f>
        <v>0.17942703970514323</v>
      </c>
      <c r="S11" s="17">
        <f>freq_10!G82</f>
        <v>0.14500234631628345</v>
      </c>
      <c r="T11" s="17">
        <f>freq_10!H82</f>
        <v>0.10281768986751259</v>
      </c>
      <c r="U11" s="4">
        <f>freq_10!I82</f>
        <v>0.12232952882645595</v>
      </c>
      <c r="V11" s="37">
        <f t="shared" si="2"/>
        <v>1.8856681E-2</v>
      </c>
      <c r="Y11" s="17" t="s">
        <v>17</v>
      </c>
      <c r="Z11" s="40">
        <f>freq_10!F110</f>
        <v>6.8439831333117096E-2</v>
      </c>
      <c r="AA11" s="40">
        <f>freq_10!G110</f>
        <v>4.2028985507246375E-2</v>
      </c>
      <c r="AB11" s="40">
        <f>freq_10!H110</f>
        <v>1.9942434210526317E-2</v>
      </c>
      <c r="AC11" s="41">
        <f>freq_10!I110</f>
        <v>3.4987794955248168E-2</v>
      </c>
      <c r="AD11" s="37">
        <f t="shared" si="3"/>
        <v>1.8856681E-2</v>
      </c>
      <c r="AG11" s="44" t="s">
        <v>17</v>
      </c>
      <c r="AH11" s="40">
        <f>freq_10!F138</f>
        <v>0.16087653661143772</v>
      </c>
      <c r="AI11" s="40">
        <f>freq_10!G138</f>
        <v>0.13784021071115013</v>
      </c>
      <c r="AJ11" s="40">
        <f>freq_10!H138</f>
        <v>0.10536649214659685</v>
      </c>
      <c r="AK11" s="41">
        <f>freq_10!I138</f>
        <v>0.13552631578947369</v>
      </c>
      <c r="AL11" s="44">
        <f t="shared" si="4"/>
        <v>1.8856681E-2</v>
      </c>
      <c r="AO11" s="44" t="s">
        <v>17</v>
      </c>
      <c r="AP11" s="40">
        <f>freq_10!F166</f>
        <v>0.1943687556766576</v>
      </c>
      <c r="AQ11" s="40">
        <f>freq_10!G166</f>
        <v>0.15261044176706828</v>
      </c>
      <c r="AR11" s="40">
        <f>freq_10!H166</f>
        <v>0.10248552945182159</v>
      </c>
      <c r="AS11" s="41">
        <f>freq_10!I166</f>
        <v>0.12139357648339684</v>
      </c>
      <c r="AT11" s="44">
        <f t="shared" si="5"/>
        <v>1.8856681E-2</v>
      </c>
    </row>
    <row r="12" spans="1:46" s="25" customFormat="1" x14ac:dyDescent="0.15">
      <c r="A12" s="25" t="s">
        <v>78</v>
      </c>
      <c r="B12" s="25">
        <f>361/100</f>
        <v>3.61</v>
      </c>
      <c r="C12" s="25">
        <f>21/25</f>
        <v>0.84</v>
      </c>
      <c r="D12" s="25">
        <f>-31/100</f>
        <v>-0.31</v>
      </c>
      <c r="E12" s="25">
        <f>31/50</f>
        <v>0.62</v>
      </c>
      <c r="G12" s="26"/>
      <c r="I12" s="25" t="s">
        <v>78</v>
      </c>
      <c r="J12" s="25">
        <f>17/25</f>
        <v>0.68</v>
      </c>
      <c r="K12" s="25">
        <f>1/5</f>
        <v>0.2</v>
      </c>
      <c r="L12" s="25">
        <f>1/20</f>
        <v>0.05</v>
      </c>
      <c r="M12" s="25">
        <f>89/100</f>
        <v>0.89</v>
      </c>
      <c r="Q12" s="25" t="s">
        <v>78</v>
      </c>
      <c r="R12" s="25">
        <f>1461/100</f>
        <v>14.61</v>
      </c>
      <c r="S12" s="25">
        <f>637/100</f>
        <v>6.37</v>
      </c>
      <c r="T12" s="25">
        <f>187/100</f>
        <v>1.87</v>
      </c>
      <c r="U12" s="25">
        <f>22/5</f>
        <v>4.4000000000000004</v>
      </c>
      <c r="Y12" s="25" t="s">
        <v>78</v>
      </c>
      <c r="Z12" s="25">
        <f>-67/100</f>
        <v>-0.67</v>
      </c>
      <c r="AA12" s="25">
        <f>-32/25</f>
        <v>-1.28</v>
      </c>
      <c r="AB12" s="25">
        <f>-187/100</f>
        <v>-1.87</v>
      </c>
      <c r="AC12" s="25">
        <f>-141/100</f>
        <v>-1.41</v>
      </c>
      <c r="AG12" s="25" t="s">
        <v>347</v>
      </c>
      <c r="AH12" s="25">
        <f>961/100</f>
        <v>9.61</v>
      </c>
      <c r="AI12" s="25">
        <f>193/50</f>
        <v>3.86</v>
      </c>
      <c r="AJ12" s="25">
        <f>19/10</f>
        <v>1.9</v>
      </c>
      <c r="AK12" s="25">
        <f>519/100</f>
        <v>5.19</v>
      </c>
      <c r="AO12" s="25" t="s">
        <v>348</v>
      </c>
      <c r="AP12" s="51">
        <f>1853/100</f>
        <v>18.53</v>
      </c>
      <c r="AQ12" s="51">
        <f>387/50</f>
        <v>7.74</v>
      </c>
      <c r="AR12" s="51">
        <f>187/100</f>
        <v>1.87</v>
      </c>
      <c r="AS12" s="51">
        <f>389/100</f>
        <v>3.89</v>
      </c>
    </row>
    <row r="13" spans="1:46" x14ac:dyDescent="0.15">
      <c r="A13" s="15"/>
      <c r="B13" s="15"/>
      <c r="C13" s="15"/>
      <c r="D13" s="15"/>
      <c r="E13" s="15"/>
      <c r="F13" s="15"/>
    </row>
    <row r="14" spans="1:46" x14ac:dyDescent="0.15">
      <c r="A14" s="15"/>
      <c r="B14" s="15"/>
      <c r="C14" s="15"/>
      <c r="D14" s="15"/>
      <c r="E14" s="15"/>
      <c r="F14" s="15"/>
    </row>
    <row r="15" spans="1:46" x14ac:dyDescent="0.15">
      <c r="A15" s="15"/>
      <c r="B15" s="15"/>
      <c r="C15" s="15"/>
      <c r="D15" s="15"/>
      <c r="E15" s="15"/>
      <c r="F15" s="15"/>
    </row>
    <row r="16" spans="1:46" x14ac:dyDescent="0.15">
      <c r="A16" s="15"/>
      <c r="B16" s="15"/>
      <c r="C16" s="15"/>
      <c r="D16" s="15"/>
      <c r="E16" s="15"/>
      <c r="F16" s="15"/>
    </row>
    <row r="17" spans="1:6" x14ac:dyDescent="0.15">
      <c r="A17" s="15"/>
      <c r="B17" s="15"/>
      <c r="C17" s="15"/>
      <c r="D17" s="15"/>
      <c r="E17" s="15"/>
      <c r="F17" s="15"/>
    </row>
    <row r="18" spans="1:6" x14ac:dyDescent="0.15">
      <c r="A18" s="15"/>
      <c r="B18" s="15"/>
      <c r="C18" s="15"/>
      <c r="D18" s="15"/>
      <c r="E18" s="15"/>
      <c r="F18" s="15"/>
    </row>
    <row r="19" spans="1:6" x14ac:dyDescent="0.15">
      <c r="A19" s="15"/>
      <c r="B19" s="15"/>
      <c r="C19" s="15"/>
      <c r="D19" s="15"/>
      <c r="E19" s="15"/>
      <c r="F19" s="15"/>
    </row>
    <row r="20" spans="1:6" x14ac:dyDescent="0.15">
      <c r="A20" s="15"/>
      <c r="B20" s="15"/>
      <c r="C20" s="15"/>
      <c r="D20" s="15"/>
      <c r="E20" s="15"/>
      <c r="F20" s="15"/>
    </row>
    <row r="37" spans="1:8" x14ac:dyDescent="0.15">
      <c r="A37" s="17"/>
      <c r="B37" s="17"/>
      <c r="C37" s="17"/>
      <c r="D37" s="17"/>
      <c r="E37" s="4"/>
      <c r="F37" s="17"/>
    </row>
    <row r="38" spans="1:8" x14ac:dyDescent="0.15">
      <c r="A38" s="17"/>
      <c r="B38" s="17"/>
      <c r="C38" s="17"/>
      <c r="D38" s="17"/>
      <c r="E38" s="4"/>
      <c r="F38" s="17"/>
    </row>
    <row r="39" spans="1:8" x14ac:dyDescent="0.15">
      <c r="A39" s="17"/>
      <c r="B39" s="17"/>
      <c r="C39" s="17"/>
      <c r="D39" s="17"/>
      <c r="E39" s="4"/>
      <c r="F39" s="17"/>
    </row>
    <row r="45" spans="1:8" x14ac:dyDescent="0.15">
      <c r="A45" s="43"/>
      <c r="B45" s="27" t="s">
        <v>48</v>
      </c>
      <c r="C45" s="27" t="s">
        <v>339</v>
      </c>
      <c r="D45" s="27" t="s">
        <v>340</v>
      </c>
      <c r="E45" s="27" t="s">
        <v>344</v>
      </c>
      <c r="F45" s="27" t="s">
        <v>345</v>
      </c>
      <c r="G45" s="27" t="s">
        <v>341</v>
      </c>
      <c r="H45" s="24"/>
    </row>
    <row r="46" spans="1:8" x14ac:dyDescent="0.15">
      <c r="A46" s="43" t="s">
        <v>8</v>
      </c>
      <c r="B46" s="43">
        <f>freq_10!B3</f>
        <v>21542</v>
      </c>
      <c r="C46" s="43">
        <f>freq_10!B31</f>
        <v>3370</v>
      </c>
      <c r="D46" s="43">
        <f>freq_10!B59</f>
        <v>8940</v>
      </c>
      <c r="E46" s="44">
        <f>freq_10!B115</f>
        <v>2817</v>
      </c>
      <c r="F46" s="44">
        <f>freq_10!B143</f>
        <v>4712</v>
      </c>
      <c r="G46" s="43">
        <f>freq_10!B87</f>
        <v>11193</v>
      </c>
      <c r="H46" s="24"/>
    </row>
    <row r="47" spans="1:8" x14ac:dyDescent="0.15">
      <c r="A47" s="43" t="s">
        <v>9</v>
      </c>
      <c r="B47" s="43">
        <f>freq_10!B4</f>
        <v>3409</v>
      </c>
      <c r="C47" s="43">
        <f>freq_10!B32</f>
        <v>532</v>
      </c>
      <c r="D47" s="43">
        <f>freq_10!B60</f>
        <v>1892</v>
      </c>
      <c r="E47" s="44">
        <f>freq_10!B116</f>
        <v>583</v>
      </c>
      <c r="F47" s="44">
        <f>freq_10!B144</f>
        <v>996</v>
      </c>
      <c r="G47" s="43">
        <f>freq_10!B88</f>
        <v>1299</v>
      </c>
      <c r="H47" s="24"/>
    </row>
    <row r="48" spans="1:8" x14ac:dyDescent="0.15">
      <c r="A48" s="43" t="s">
        <v>10</v>
      </c>
      <c r="B48" s="43">
        <f>freq_10!B5</f>
        <v>2018</v>
      </c>
      <c r="C48" s="43">
        <f>freq_10!B33</f>
        <v>320</v>
      </c>
      <c r="D48" s="43">
        <f>freq_10!B61</f>
        <v>1249</v>
      </c>
      <c r="E48" s="44">
        <f>freq_10!B117</f>
        <v>353</v>
      </c>
      <c r="F48" s="44">
        <f>freq_10!B145</f>
        <v>660</v>
      </c>
      <c r="G48" s="43">
        <f>freq_10!B89</f>
        <v>669</v>
      </c>
      <c r="H48" s="24"/>
    </row>
    <row r="49" spans="1:8" x14ac:dyDescent="0.15">
      <c r="A49" s="43" t="s">
        <v>11</v>
      </c>
      <c r="B49" s="43">
        <f>freq_10!B6</f>
        <v>1419</v>
      </c>
      <c r="C49" s="43">
        <f>freq_10!B34</f>
        <v>221</v>
      </c>
      <c r="D49" s="43">
        <f>freq_10!B62</f>
        <v>956</v>
      </c>
      <c r="E49" s="44">
        <f>freq_10!B118</f>
        <v>284</v>
      </c>
      <c r="F49" s="44">
        <f>freq_10!B146</f>
        <v>499</v>
      </c>
      <c r="G49" s="43">
        <f>freq_10!B90</f>
        <v>390</v>
      </c>
      <c r="H49" s="24"/>
    </row>
    <row r="50" spans="1:8" x14ac:dyDescent="0.15">
      <c r="A50" s="43" t="s">
        <v>12</v>
      </c>
      <c r="B50" s="43">
        <f>freq_10!B7</f>
        <v>1344</v>
      </c>
      <c r="C50" s="43">
        <f>freq_10!B35</f>
        <v>200</v>
      </c>
      <c r="D50" s="43">
        <f>freq_10!B63</f>
        <v>889</v>
      </c>
      <c r="E50" s="44">
        <f>freq_10!B119</f>
        <v>285</v>
      </c>
      <c r="F50" s="44">
        <f>freq_10!B147</f>
        <v>463</v>
      </c>
      <c r="G50" s="43">
        <f>freq_10!B91</f>
        <v>380</v>
      </c>
      <c r="H50" s="24"/>
    </row>
    <row r="51" spans="1:8" x14ac:dyDescent="0.15">
      <c r="A51" s="43" t="s">
        <v>13</v>
      </c>
      <c r="B51" s="43">
        <f>freq_10!B8</f>
        <v>1265</v>
      </c>
      <c r="C51" s="43">
        <f>freq_10!B36</f>
        <v>161</v>
      </c>
      <c r="D51" s="43">
        <f>freq_10!B64</f>
        <v>897</v>
      </c>
      <c r="E51" s="44">
        <f>freq_10!B120</f>
        <v>241</v>
      </c>
      <c r="F51" s="44">
        <f>freq_10!B148</f>
        <v>469</v>
      </c>
      <c r="G51" s="43">
        <f>freq_10!B92</f>
        <v>300</v>
      </c>
      <c r="H51" s="24"/>
    </row>
    <row r="52" spans="1:8" x14ac:dyDescent="0.15">
      <c r="A52" s="43" t="s">
        <v>14</v>
      </c>
      <c r="B52" s="43">
        <f>freq_10!B9</f>
        <v>990</v>
      </c>
      <c r="C52" s="43">
        <f>freq_10!B37</f>
        <v>145</v>
      </c>
      <c r="D52" s="43">
        <f>freq_10!B65</f>
        <v>739</v>
      </c>
      <c r="E52" s="44">
        <f>freq_10!B121</f>
        <v>203</v>
      </c>
      <c r="F52" s="44">
        <f>freq_10!B149</f>
        <v>391</v>
      </c>
      <c r="G52" s="43">
        <f>freq_10!B93</f>
        <v>211</v>
      </c>
      <c r="H52" s="24"/>
    </row>
    <row r="53" spans="1:8" x14ac:dyDescent="0.15">
      <c r="A53" s="43" t="s">
        <v>15</v>
      </c>
      <c r="B53" s="43">
        <f>freq_10!B10</f>
        <v>1131</v>
      </c>
      <c r="C53" s="43">
        <f>freq_10!B38</f>
        <v>166</v>
      </c>
      <c r="D53" s="43">
        <f>freq_10!B66</f>
        <v>853</v>
      </c>
      <c r="E53" s="44">
        <f>freq_10!B122</f>
        <v>235</v>
      </c>
      <c r="F53" s="44">
        <f>freq_10!B150</f>
        <v>434</v>
      </c>
      <c r="G53" s="43">
        <f>freq_10!B94</f>
        <v>234</v>
      </c>
      <c r="H53" s="24"/>
    </row>
    <row r="54" spans="1:8" x14ac:dyDescent="0.15">
      <c r="A54" s="43" t="s">
        <v>16</v>
      </c>
      <c r="B54" s="43">
        <f>freq_10!B11</f>
        <v>1383</v>
      </c>
      <c r="C54" s="43">
        <f>freq_10!B39</f>
        <v>178</v>
      </c>
      <c r="D54" s="43">
        <f>freq_10!B67</f>
        <v>1035</v>
      </c>
      <c r="E54" s="44">
        <f>freq_10!B123</f>
        <v>305</v>
      </c>
      <c r="F54" s="44">
        <f>freq_10!B151</f>
        <v>573</v>
      </c>
      <c r="G54" s="43">
        <f>freq_10!B95</f>
        <v>262</v>
      </c>
      <c r="H54" s="24"/>
    </row>
    <row r="55" spans="1:8" x14ac:dyDescent="0.15">
      <c r="A55" s="43" t="s">
        <v>17</v>
      </c>
      <c r="B55" s="43">
        <f>freq_10!B12</f>
        <v>3508</v>
      </c>
      <c r="C55" s="43">
        <f>freq_10!B40</f>
        <v>526</v>
      </c>
      <c r="D55" s="43">
        <f>freq_10!B68</f>
        <v>2738</v>
      </c>
      <c r="E55" s="44">
        <f>freq_10!B124</f>
        <v>780</v>
      </c>
      <c r="F55" s="44">
        <f>freq_10!B152</f>
        <v>1534</v>
      </c>
      <c r="G55" s="43">
        <f>freq_10!B96</f>
        <v>566</v>
      </c>
      <c r="H55" s="24"/>
    </row>
    <row r="56" spans="1:8" x14ac:dyDescent="0.15">
      <c r="A56" s="43" t="s">
        <v>342</v>
      </c>
      <c r="B56" s="43">
        <f>SUM(B46:B55)</f>
        <v>38009</v>
      </c>
      <c r="C56" s="43">
        <f t="shared" ref="C56:D56" si="6">SUM(C46:C55)</f>
        <v>5819</v>
      </c>
      <c r="D56" s="43">
        <f t="shared" si="6"/>
        <v>20188</v>
      </c>
      <c r="E56" s="44">
        <f>SUM(E46:E55)</f>
        <v>6086</v>
      </c>
      <c r="F56" s="44">
        <f>SUM(F46:F55)</f>
        <v>10731</v>
      </c>
      <c r="G56" s="43">
        <f>SUM(G46:G55)</f>
        <v>15504</v>
      </c>
      <c r="H56" s="24"/>
    </row>
    <row r="57" spans="1:8" x14ac:dyDescent="0.15">
      <c r="A57" s="43"/>
      <c r="B57" s="43"/>
      <c r="C57" s="43"/>
      <c r="D57" s="43"/>
      <c r="G57" s="43"/>
      <c r="H57" s="24"/>
    </row>
    <row r="58" spans="1:8" x14ac:dyDescent="0.15">
      <c r="B58" s="27" t="s">
        <v>48</v>
      </c>
      <c r="C58" s="27" t="s">
        <v>339</v>
      </c>
      <c r="D58" s="27" t="s">
        <v>340</v>
      </c>
      <c r="E58" s="27" t="s">
        <v>344</v>
      </c>
      <c r="F58" s="27" t="s">
        <v>345</v>
      </c>
      <c r="G58" s="27" t="s">
        <v>341</v>
      </c>
      <c r="H58" s="43" t="s">
        <v>39</v>
      </c>
    </row>
    <row r="59" spans="1:8" x14ac:dyDescent="0.15">
      <c r="A59" s="43" t="s">
        <v>8</v>
      </c>
      <c r="B59" s="43">
        <f>B46/B$56</f>
        <v>0.56676050409113632</v>
      </c>
      <c r="C59" s="43">
        <f t="shared" ref="C59" si="7">C46/C$56</f>
        <v>0.57913730881594772</v>
      </c>
      <c r="D59" s="43">
        <f t="shared" ref="D59:G68" si="8">D46/D$56</f>
        <v>0.44283732910639984</v>
      </c>
      <c r="E59" s="44">
        <f t="shared" si="8"/>
        <v>0.46286559316464015</v>
      </c>
      <c r="F59" s="44">
        <f t="shared" si="8"/>
        <v>0.43910166806448608</v>
      </c>
      <c r="G59" s="43">
        <f t="shared" si="8"/>
        <v>0.72194272445820429</v>
      </c>
      <c r="H59">
        <v>0.59199847999999999</v>
      </c>
    </row>
    <row r="60" spans="1:8" x14ac:dyDescent="0.15">
      <c r="A60" s="43" t="s">
        <v>9</v>
      </c>
      <c r="B60" s="43">
        <f t="shared" ref="B60:C68" si="9">B47/B$56</f>
        <v>8.9689284116919676E-2</v>
      </c>
      <c r="C60" s="43">
        <f t="shared" si="9"/>
        <v>9.1424643409520542E-2</v>
      </c>
      <c r="D60" s="43">
        <f t="shared" si="8"/>
        <v>9.3719041014464044E-2</v>
      </c>
      <c r="E60" s="44">
        <f t="shared" si="8"/>
        <v>9.5793624712454811E-2</v>
      </c>
      <c r="F60" s="44">
        <f t="shared" si="8"/>
        <v>9.2815208275090863E-2</v>
      </c>
      <c r="G60" s="43">
        <f t="shared" si="8"/>
        <v>8.3784829721362225E-2</v>
      </c>
      <c r="H60">
        <v>0.12129602</v>
      </c>
    </row>
    <row r="61" spans="1:8" x14ac:dyDescent="0.15">
      <c r="A61" s="43" t="s">
        <v>10</v>
      </c>
      <c r="B61" s="43">
        <f t="shared" si="9"/>
        <v>5.3092688573758845E-2</v>
      </c>
      <c r="C61" s="43">
        <f t="shared" si="9"/>
        <v>5.4992266712493555E-2</v>
      </c>
      <c r="D61" s="43">
        <f t="shared" si="8"/>
        <v>6.1868436695066378E-2</v>
      </c>
      <c r="E61" s="44">
        <f t="shared" si="8"/>
        <v>5.8001971738416036E-2</v>
      </c>
      <c r="F61" s="44">
        <f t="shared" si="8"/>
        <v>6.1504053676265026E-2</v>
      </c>
      <c r="G61" s="43">
        <f t="shared" si="8"/>
        <v>4.3150154798761609E-2</v>
      </c>
      <c r="H61">
        <v>7.1249094999999998E-2</v>
      </c>
    </row>
    <row r="62" spans="1:8" x14ac:dyDescent="0.15">
      <c r="A62" s="43" t="s">
        <v>11</v>
      </c>
      <c r="B62" s="43">
        <f t="shared" si="9"/>
        <v>3.73332631745113E-2</v>
      </c>
      <c r="C62" s="43">
        <f t="shared" si="9"/>
        <v>3.7979034198315859E-2</v>
      </c>
      <c r="D62" s="43">
        <f t="shared" si="8"/>
        <v>4.7354864275807408E-2</v>
      </c>
      <c r="E62" s="44">
        <f t="shared" si="8"/>
        <v>4.6664475846204402E-2</v>
      </c>
      <c r="F62" s="44">
        <f t="shared" si="8"/>
        <v>4.6500792097660983E-2</v>
      </c>
      <c r="G62" s="43">
        <f t="shared" si="8"/>
        <v>2.5154798761609906E-2</v>
      </c>
      <c r="H62">
        <v>5.1756445999999998E-2</v>
      </c>
    </row>
    <row r="63" spans="1:8" x14ac:dyDescent="0.15">
      <c r="A63" s="43" t="s">
        <v>12</v>
      </c>
      <c r="B63" s="43">
        <f t="shared" si="9"/>
        <v>3.5360046304822541E-2</v>
      </c>
      <c r="C63" s="43">
        <f t="shared" si="9"/>
        <v>3.4370166695308471E-2</v>
      </c>
      <c r="D63" s="43">
        <f t="shared" si="8"/>
        <v>4.403606102635229E-2</v>
      </c>
      <c r="E63" s="44">
        <f t="shared" si="8"/>
        <v>4.6828787380874135E-2</v>
      </c>
      <c r="F63" s="44">
        <f t="shared" si="8"/>
        <v>4.3146025533501074E-2</v>
      </c>
      <c r="G63" s="43">
        <f t="shared" si="8"/>
        <v>2.4509803921568627E-2</v>
      </c>
      <c r="H63">
        <v>3.9957226999999998E-2</v>
      </c>
    </row>
    <row r="64" spans="1:8" x14ac:dyDescent="0.15">
      <c r="A64" s="43" t="s">
        <v>13</v>
      </c>
      <c r="B64" s="43">
        <f t="shared" si="9"/>
        <v>3.3281591202083717E-2</v>
      </c>
      <c r="C64" s="43">
        <f t="shared" si="9"/>
        <v>2.766798418972332E-2</v>
      </c>
      <c r="D64" s="43">
        <f t="shared" si="8"/>
        <v>4.4432336041212599E-2</v>
      </c>
      <c r="E64" s="44">
        <f t="shared" si="8"/>
        <v>3.9599079855405853E-2</v>
      </c>
      <c r="F64" s="44">
        <f t="shared" si="8"/>
        <v>4.3705153294194388E-2</v>
      </c>
      <c r="G64" s="43">
        <f t="shared" si="8"/>
        <v>1.9349845201238391E-2</v>
      </c>
      <c r="H64">
        <v>3.2549622E-2</v>
      </c>
    </row>
    <row r="65" spans="1:10" x14ac:dyDescent="0.15">
      <c r="A65" s="43" t="s">
        <v>14</v>
      </c>
      <c r="B65" s="43">
        <f t="shared" si="9"/>
        <v>2.6046462679891604E-2</v>
      </c>
      <c r="C65" s="43">
        <f t="shared" si="9"/>
        <v>2.4918370854098641E-2</v>
      </c>
      <c r="D65" s="43">
        <f t="shared" si="8"/>
        <v>3.6605904497721421E-2</v>
      </c>
      <c r="E65" s="44">
        <f t="shared" si="8"/>
        <v>3.3355241537955965E-2</v>
      </c>
      <c r="F65" s="44">
        <f t="shared" si="8"/>
        <v>3.6436492405181251E-2</v>
      </c>
      <c r="G65" s="43">
        <f t="shared" si="8"/>
        <v>1.3609391124871001E-2</v>
      </c>
      <c r="H65">
        <v>2.7463002E-2</v>
      </c>
    </row>
    <row r="66" spans="1:10" x14ac:dyDescent="0.15">
      <c r="A66" s="43" t="s">
        <v>15</v>
      </c>
      <c r="B66" s="43">
        <f t="shared" si="9"/>
        <v>2.9756110394906471E-2</v>
      </c>
      <c r="C66" s="43">
        <f t="shared" si="9"/>
        <v>2.8527238357106032E-2</v>
      </c>
      <c r="D66" s="43">
        <f t="shared" si="8"/>
        <v>4.2252823459480879E-2</v>
      </c>
      <c r="E66" s="44">
        <f t="shared" si="8"/>
        <v>3.8613210647387444E-2</v>
      </c>
      <c r="F66" s="44">
        <f t="shared" si="8"/>
        <v>4.044357469015003E-2</v>
      </c>
      <c r="G66" s="43">
        <f t="shared" si="8"/>
        <v>1.5092879256965945E-2</v>
      </c>
      <c r="H66">
        <v>2.3753079999999999E-2</v>
      </c>
    </row>
    <row r="67" spans="1:10" x14ac:dyDescent="0.15">
      <c r="A67" s="43" t="s">
        <v>16</v>
      </c>
      <c r="B67" s="43">
        <f t="shared" si="9"/>
        <v>3.63861190770607E-2</v>
      </c>
      <c r="C67" s="43">
        <f t="shared" si="9"/>
        <v>3.0589448358824541E-2</v>
      </c>
      <c r="D67" s="43">
        <f t="shared" si="8"/>
        <v>5.1268080047553004E-2</v>
      </c>
      <c r="E67" s="44">
        <f t="shared" si="8"/>
        <v>5.0115018074268811E-2</v>
      </c>
      <c r="F67" s="44">
        <f t="shared" si="8"/>
        <v>5.3396701146211908E-2</v>
      </c>
      <c r="G67" s="43">
        <f t="shared" si="8"/>
        <v>1.6898864809081527E-2</v>
      </c>
      <c r="H67">
        <v>2.1120346000000002E-2</v>
      </c>
    </row>
    <row r="68" spans="1:10" x14ac:dyDescent="0.15">
      <c r="A68" s="43" t="s">
        <v>17</v>
      </c>
      <c r="B68" s="43">
        <f t="shared" si="9"/>
        <v>9.2293930384908837E-2</v>
      </c>
      <c r="C68" s="43">
        <f t="shared" si="9"/>
        <v>9.0393538408661281E-2</v>
      </c>
      <c r="D68" s="43">
        <f t="shared" si="8"/>
        <v>0.13562512383594214</v>
      </c>
      <c r="E68" s="44">
        <f t="shared" si="8"/>
        <v>0.12816299704239237</v>
      </c>
      <c r="F68" s="44">
        <f t="shared" si="8"/>
        <v>0.14295033081725841</v>
      </c>
      <c r="G68" s="43">
        <f t="shared" si="8"/>
        <v>3.6506707946336432E-2</v>
      </c>
      <c r="H68">
        <v>1.8856681E-2</v>
      </c>
    </row>
    <row r="69" spans="1:10" s="4" customFormat="1" x14ac:dyDescent="0.15">
      <c r="A69" s="51" t="s">
        <v>78</v>
      </c>
      <c r="B69" s="4">
        <f>12/25</f>
        <v>0.48</v>
      </c>
      <c r="C69" s="4">
        <f>29/100</f>
        <v>0.28999999999999998</v>
      </c>
      <c r="D69" s="4">
        <f>259/50</f>
        <v>5.18</v>
      </c>
      <c r="E69" s="4">
        <f>367/100</f>
        <v>3.67</v>
      </c>
      <c r="F69" s="4">
        <f>151/25</f>
        <v>6.04</v>
      </c>
      <c r="G69" s="53">
        <f>-143/100</f>
        <v>-1.43</v>
      </c>
    </row>
    <row r="70" spans="1:10" x14ac:dyDescent="0.15">
      <c r="G70" s="52"/>
    </row>
    <row r="73" spans="1:10" s="55" customFormat="1" x14ac:dyDescent="0.15">
      <c r="A73" s="55">
        <v>0.56676050409113632</v>
      </c>
      <c r="B73" s="55">
        <v>8.9689284116919676E-2</v>
      </c>
      <c r="C73" s="55">
        <v>5.3092688573758845E-2</v>
      </c>
      <c r="D73" s="55">
        <v>3.73332631745113E-2</v>
      </c>
      <c r="E73" s="55">
        <v>3.5360046304822541E-2</v>
      </c>
      <c r="F73" s="55">
        <v>3.3281591202083717E-2</v>
      </c>
      <c r="G73" s="56">
        <v>2.6046462679891604E-2</v>
      </c>
      <c r="H73" s="55">
        <v>2.9756110394906471E-2</v>
      </c>
      <c r="I73" s="55">
        <v>3.63861190770607E-2</v>
      </c>
      <c r="J73" s="55">
        <v>9.2293930384908837E-2</v>
      </c>
    </row>
    <row r="74" spans="1:10" s="55" customFormat="1" x14ac:dyDescent="0.15">
      <c r="A74" s="55">
        <v>0.57913730881594772</v>
      </c>
      <c r="B74" s="55">
        <v>9.1424643409520542E-2</v>
      </c>
      <c r="C74" s="55">
        <v>5.4992266712493555E-2</v>
      </c>
      <c r="D74" s="55">
        <v>3.7979034198315859E-2</v>
      </c>
      <c r="E74" s="55">
        <v>3.4370166695308471E-2</v>
      </c>
      <c r="F74" s="55">
        <v>2.766798418972332E-2</v>
      </c>
      <c r="G74" s="56">
        <v>2.4918370854098641E-2</v>
      </c>
      <c r="H74" s="55">
        <v>2.8527238357106032E-2</v>
      </c>
      <c r="I74" s="55">
        <v>3.0589448358824541E-2</v>
      </c>
      <c r="J74" s="55">
        <v>9.0393538408661281E-2</v>
      </c>
    </row>
    <row r="75" spans="1:10" s="55" customFormat="1" x14ac:dyDescent="0.15">
      <c r="A75" s="55">
        <v>0.44283732910639984</v>
      </c>
      <c r="B75" s="55">
        <v>9.3719041014464044E-2</v>
      </c>
      <c r="C75" s="55">
        <v>6.1868436695066378E-2</v>
      </c>
      <c r="D75" s="55">
        <v>4.7354864275807408E-2</v>
      </c>
      <c r="E75" s="55">
        <v>4.403606102635229E-2</v>
      </c>
      <c r="F75" s="55">
        <v>4.4432336041212599E-2</v>
      </c>
      <c r="G75" s="56">
        <v>3.6605904497721421E-2</v>
      </c>
      <c r="H75" s="55">
        <v>4.2252823459480879E-2</v>
      </c>
      <c r="I75" s="55">
        <v>5.1268080047553004E-2</v>
      </c>
      <c r="J75" s="55">
        <v>0.13562512383594214</v>
      </c>
    </row>
    <row r="76" spans="1:10" s="55" customFormat="1" x14ac:dyDescent="0.15">
      <c r="A76" s="55">
        <v>0.46286559316464015</v>
      </c>
      <c r="B76" s="55">
        <v>9.5793624712454811E-2</v>
      </c>
      <c r="C76" s="55">
        <v>5.8001971738416036E-2</v>
      </c>
      <c r="D76" s="55">
        <v>4.6664475846204402E-2</v>
      </c>
      <c r="E76" s="55">
        <v>4.6828787380874135E-2</v>
      </c>
      <c r="F76" s="55">
        <v>3.9599079855405853E-2</v>
      </c>
      <c r="G76" s="56">
        <v>3.3355241537955965E-2</v>
      </c>
      <c r="H76" s="55">
        <v>3.8613210647387444E-2</v>
      </c>
      <c r="I76" s="55">
        <v>5.0115018074268811E-2</v>
      </c>
      <c r="J76" s="55">
        <v>0.12816299704239237</v>
      </c>
    </row>
    <row r="77" spans="1:10" s="55" customFormat="1" x14ac:dyDescent="0.15">
      <c r="A77" s="55">
        <v>0.43910166806448608</v>
      </c>
      <c r="B77" s="54">
        <v>9.2815208275090863E-2</v>
      </c>
      <c r="C77" s="54">
        <v>6.1504053676265026E-2</v>
      </c>
      <c r="D77" s="54">
        <v>4.6500792097660983E-2</v>
      </c>
      <c r="E77" s="54">
        <v>4.3146025533501074E-2</v>
      </c>
      <c r="F77" s="54">
        <v>4.3705153294194388E-2</v>
      </c>
      <c r="G77" s="54">
        <v>3.6436492405181251E-2</v>
      </c>
      <c r="H77" s="55">
        <v>4.044357469015003E-2</v>
      </c>
      <c r="I77" s="55">
        <v>5.3396701146211908E-2</v>
      </c>
      <c r="J77" s="55">
        <v>0.14295033081725841</v>
      </c>
    </row>
    <row r="78" spans="1:10" s="55" customFormat="1" x14ac:dyDescent="0.15">
      <c r="A78" s="55">
        <v>0.72194272445820429</v>
      </c>
      <c r="B78" s="55">
        <v>8.3784829721362225E-2</v>
      </c>
      <c r="C78" s="55">
        <v>4.3150154798761609E-2</v>
      </c>
      <c r="D78" s="55">
        <v>2.5154798761609906E-2</v>
      </c>
      <c r="E78" s="55">
        <v>2.4509803921568627E-2</v>
      </c>
      <c r="F78" s="55">
        <v>1.9349845201238391E-2</v>
      </c>
      <c r="G78" s="56">
        <v>1.3609391124871001E-2</v>
      </c>
      <c r="H78" s="55">
        <v>1.5092879256965945E-2</v>
      </c>
      <c r="I78" s="55">
        <v>1.6898864809081527E-2</v>
      </c>
      <c r="J78" s="55">
        <v>3.6506707946336432E-2</v>
      </c>
    </row>
    <row r="79" spans="1:10" s="55" customFormat="1" x14ac:dyDescent="0.15"/>
    <row r="80" spans="1:10" s="55" customFormat="1" x14ac:dyDescent="0.15"/>
    <row r="81" spans="1:10" s="55" customFormat="1" x14ac:dyDescent="0.15">
      <c r="A81" s="55">
        <v>0.47763048881524439</v>
      </c>
      <c r="B81" s="55">
        <v>8.4714167357083675E-2</v>
      </c>
      <c r="C81" s="55">
        <v>5.5613090306545154E-2</v>
      </c>
      <c r="D81" s="55">
        <v>4.1114333057166531E-2</v>
      </c>
      <c r="E81" s="55">
        <v>4.2149958574979288E-2</v>
      </c>
      <c r="F81" s="55">
        <v>4.1528583264291631E-2</v>
      </c>
      <c r="G81" s="56">
        <v>3.2104391052195529E-2</v>
      </c>
      <c r="H81" s="55">
        <v>3.5211267605633804E-2</v>
      </c>
      <c r="I81" s="55">
        <v>4.8363711681855839E-2</v>
      </c>
      <c r="J81" s="55">
        <v>0.14157000828500416</v>
      </c>
    </row>
    <row r="82" spans="1:10" s="55" customFormat="1" x14ac:dyDescent="0.15">
      <c r="A82" s="55">
        <v>0.54372981700753498</v>
      </c>
      <c r="B82" s="55">
        <v>9.4187298170075345E-2</v>
      </c>
      <c r="C82" s="55">
        <v>6.0145317545748117E-2</v>
      </c>
      <c r="D82" s="55">
        <v>4.0500538213132403E-2</v>
      </c>
      <c r="E82" s="55">
        <v>3.6733046286329389E-2</v>
      </c>
      <c r="F82" s="55">
        <v>3.3369214208826693E-2</v>
      </c>
      <c r="G82" s="56">
        <v>2.2604951560818085E-2</v>
      </c>
      <c r="H82" s="55">
        <v>2.6506996770721207E-2</v>
      </c>
      <c r="I82" s="55">
        <v>3.8078579117330466E-2</v>
      </c>
      <c r="J82" s="55">
        <v>0.10414424111948331</v>
      </c>
    </row>
    <row r="83" spans="1:10" s="55" customFormat="1" x14ac:dyDescent="0.15">
      <c r="A83" s="55">
        <v>0.62521811001928551</v>
      </c>
      <c r="B83" s="55">
        <v>9.082560382036918E-2</v>
      </c>
      <c r="C83" s="55">
        <v>5.1152539259803474E-2</v>
      </c>
      <c r="D83" s="55">
        <v>3.4805767288088894E-2</v>
      </c>
      <c r="E83" s="55">
        <v>3.0673156396363303E-2</v>
      </c>
      <c r="F83" s="55">
        <v>2.5530351731104784E-2</v>
      </c>
      <c r="G83" s="56">
        <v>2.2775277803287721E-2</v>
      </c>
      <c r="H83" s="55">
        <v>2.6265038111856001E-2</v>
      </c>
      <c r="I83" s="55">
        <v>2.9846634218018184E-2</v>
      </c>
      <c r="J83" s="55">
        <v>6.290752135182294E-2</v>
      </c>
    </row>
    <row r="84" spans="1:10" s="55" customFormat="1" x14ac:dyDescent="0.15">
      <c r="A84" s="55">
        <v>0.56189107171378372</v>
      </c>
      <c r="B84" s="55">
        <v>8.6248203162434117E-2</v>
      </c>
      <c r="C84" s="55">
        <v>4.9033700686791248E-2</v>
      </c>
      <c r="D84" s="55">
        <v>3.8811691423095353E-2</v>
      </c>
      <c r="E84" s="55">
        <v>3.6415908001916623E-2</v>
      </c>
      <c r="F84" s="55">
        <v>3.7853378054623861E-2</v>
      </c>
      <c r="G84" s="56">
        <v>2.8589682159399457E-2</v>
      </c>
      <c r="H84" s="55">
        <v>3.6096470212426131E-2</v>
      </c>
      <c r="I84" s="55">
        <v>3.8651972528350106E-2</v>
      </c>
      <c r="J84" s="55">
        <v>8.640792205717937E-2</v>
      </c>
    </row>
    <row r="85" spans="1:10" s="55" customFormat="1" x14ac:dyDescent="0.15">
      <c r="B85" s="54"/>
      <c r="C85" s="54"/>
      <c r="D85" s="54"/>
      <c r="E85" s="54"/>
      <c r="F85" s="54"/>
      <c r="G85" s="54"/>
    </row>
    <row r="86" spans="1:10" s="55" customFormat="1" x14ac:dyDescent="0.15">
      <c r="G86" s="56"/>
    </row>
    <row r="87" spans="1:10" s="55" customFormat="1" x14ac:dyDescent="0.15">
      <c r="A87" s="55">
        <v>0.553475935828877</v>
      </c>
      <c r="B87" s="55">
        <v>8.4893048128342252E-2</v>
      </c>
      <c r="C87" s="55">
        <v>5.213903743315508E-2</v>
      </c>
      <c r="D87" s="55">
        <v>3.6096256684491977E-2</v>
      </c>
      <c r="E87" s="55">
        <v>3.6764705882352942E-2</v>
      </c>
      <c r="F87" s="55">
        <v>2.4732620320855617E-2</v>
      </c>
      <c r="G87" s="56">
        <v>2.339572192513369E-2</v>
      </c>
      <c r="H87" s="55">
        <v>3.6096256684491977E-2</v>
      </c>
      <c r="I87" s="55">
        <v>4.077540106951872E-2</v>
      </c>
      <c r="J87" s="55">
        <v>0.11163101604278075</v>
      </c>
    </row>
    <row r="88" spans="1:10" s="55" customFormat="1" x14ac:dyDescent="0.15">
      <c r="A88" s="55">
        <v>0.58419497784342689</v>
      </c>
      <c r="B88" s="55">
        <v>9.8227474150664698E-2</v>
      </c>
      <c r="C88" s="55">
        <v>5.5391432791728215E-2</v>
      </c>
      <c r="D88" s="55">
        <v>3.2496307237813882E-2</v>
      </c>
      <c r="E88" s="55">
        <v>3.6927621861152143E-2</v>
      </c>
      <c r="F88" s="55">
        <v>2.8064992614475627E-2</v>
      </c>
      <c r="G88" s="56">
        <v>2.58493353028065E-2</v>
      </c>
      <c r="H88" s="55">
        <v>2.3633677991137372E-2</v>
      </c>
      <c r="I88" s="55">
        <v>3.0280649926144758E-2</v>
      </c>
      <c r="J88" s="55">
        <v>8.4933530280649927E-2</v>
      </c>
    </row>
    <row r="89" spans="1:10" s="55" customFormat="1" x14ac:dyDescent="0.15">
      <c r="A89" s="55">
        <v>0.59642301710730949</v>
      </c>
      <c r="B89" s="55">
        <v>9.0979782270606532E-2</v>
      </c>
      <c r="C89" s="55">
        <v>5.3654743390357695E-2</v>
      </c>
      <c r="D89" s="55">
        <v>3.8880248833592534E-2</v>
      </c>
      <c r="E89" s="55">
        <v>3.4992223950233284E-2</v>
      </c>
      <c r="F89" s="55">
        <v>2.0995334370139968E-2</v>
      </c>
      <c r="G89" s="56">
        <v>2.3328149300155521E-2</v>
      </c>
      <c r="H89" s="55">
        <v>2.410575427682737E-2</v>
      </c>
      <c r="I89" s="55">
        <v>2.4883359253499222E-2</v>
      </c>
      <c r="J89" s="55">
        <v>9.1757387247278388E-2</v>
      </c>
    </row>
    <row r="90" spans="1:10" s="55" customFormat="1" x14ac:dyDescent="0.15">
      <c r="A90" s="55">
        <v>0.53995157384987891</v>
      </c>
      <c r="B90" s="55">
        <v>8.9588377723970949E-2</v>
      </c>
      <c r="C90" s="55">
        <v>5.9322033898305086E-2</v>
      </c>
      <c r="D90" s="55">
        <v>4.3583535108958835E-2</v>
      </c>
      <c r="E90" s="55">
        <v>3.5108958837772396E-2</v>
      </c>
      <c r="F90" s="55">
        <v>4.1162227602905568E-2</v>
      </c>
      <c r="G90" s="56">
        <v>3.5108958837772396E-2</v>
      </c>
      <c r="H90" s="55">
        <v>3.5108958837772396E-2</v>
      </c>
      <c r="I90" s="55">
        <v>2.784503631961259E-2</v>
      </c>
      <c r="J90" s="55">
        <v>9.3220338983050849E-2</v>
      </c>
    </row>
    <row r="91" spans="1:10" s="55" customFormat="1" x14ac:dyDescent="0.15">
      <c r="B91" s="54"/>
      <c r="C91" s="54"/>
      <c r="D91" s="54"/>
      <c r="E91" s="54"/>
      <c r="F91" s="54"/>
      <c r="G91" s="54"/>
    </row>
    <row r="92" spans="1:10" s="55" customFormat="1" x14ac:dyDescent="0.15">
      <c r="G92" s="56"/>
    </row>
    <row r="93" spans="1:10" s="55" customFormat="1" x14ac:dyDescent="0.15">
      <c r="A93" s="55">
        <v>0.38013067515496735</v>
      </c>
      <c r="B93" s="55">
        <v>8.946222147763444E-2</v>
      </c>
      <c r="C93" s="55">
        <v>6.1986932484503265E-2</v>
      </c>
      <c r="D93" s="55">
        <v>4.7746691238063327E-2</v>
      </c>
      <c r="E93" s="55">
        <v>4.5736304238565922E-2</v>
      </c>
      <c r="F93" s="55">
        <v>5.1097336237225663E-2</v>
      </c>
      <c r="G93" s="56">
        <v>3.937007874015748E-2</v>
      </c>
      <c r="H93" s="55">
        <v>4.4228513988942869E-2</v>
      </c>
      <c r="I93" s="55">
        <v>6.0814206734796449E-2</v>
      </c>
      <c r="J93" s="55">
        <v>0.17942703970514323</v>
      </c>
    </row>
    <row r="94" spans="1:10" s="55" customFormat="1" x14ac:dyDescent="0.15">
      <c r="A94" s="55">
        <v>0.43312998592210228</v>
      </c>
      <c r="B94" s="55">
        <v>9.8076020647583292E-2</v>
      </c>
      <c r="C94" s="55">
        <v>6.6870014077897694E-2</v>
      </c>
      <c r="D94" s="55">
        <v>5.0680431722196155E-2</v>
      </c>
      <c r="E94" s="55">
        <v>4.3641482871891131E-2</v>
      </c>
      <c r="F94" s="55">
        <v>4.4345377756921635E-2</v>
      </c>
      <c r="G94" s="56">
        <v>3.026748005631159E-2</v>
      </c>
      <c r="H94" s="55">
        <v>3.6837165649929608E-2</v>
      </c>
      <c r="I94" s="55">
        <v>5.1149694978883151E-2</v>
      </c>
      <c r="J94" s="55">
        <v>0.14500234631628345</v>
      </c>
    </row>
    <row r="95" spans="1:10" s="55" customFormat="1" x14ac:dyDescent="0.15">
      <c r="A95" s="55">
        <v>0.49710766934129502</v>
      </c>
      <c r="B95" s="55">
        <v>9.5353610748273934E-2</v>
      </c>
      <c r="C95" s="55">
        <v>6.0272438887852213E-2</v>
      </c>
      <c r="D95" s="55">
        <v>4.6837096473222616E-2</v>
      </c>
      <c r="E95" s="55">
        <v>4.1612241089755551E-2</v>
      </c>
      <c r="F95" s="55">
        <v>3.6760589662250417E-2</v>
      </c>
      <c r="G95" s="56">
        <v>3.601418175032655E-2</v>
      </c>
      <c r="H95" s="55">
        <v>3.8440007464079121E-2</v>
      </c>
      <c r="I95" s="55">
        <v>4.4784474715431982E-2</v>
      </c>
      <c r="J95" s="55">
        <v>0.10281768986751259</v>
      </c>
    </row>
    <row r="96" spans="1:10" s="55" customFormat="1" x14ac:dyDescent="0.15">
      <c r="A96" s="55">
        <v>0.44571261340357038</v>
      </c>
      <c r="B96" s="54">
        <v>8.9259584430787242E-2</v>
      </c>
      <c r="C96" s="54">
        <v>5.8823529411764705E-2</v>
      </c>
      <c r="D96" s="54">
        <v>4.8873280655545803E-2</v>
      </c>
      <c r="E96" s="54">
        <v>4.6824700029265434E-2</v>
      </c>
      <c r="F96" s="54">
        <v>4.5946736903716708E-2</v>
      </c>
      <c r="G96" s="54">
        <v>4.009364940005853E-2</v>
      </c>
      <c r="H96" s="55">
        <v>5.1799824407374892E-2</v>
      </c>
      <c r="I96" s="55">
        <v>5.0336552531460348E-2</v>
      </c>
      <c r="J96" s="55">
        <v>0.12232952882645595</v>
      </c>
    </row>
    <row r="97" spans="1:10" s="55" customFormat="1" x14ac:dyDescent="0.15">
      <c r="G97" s="56"/>
    </row>
    <row r="98" spans="1:10" s="55" customFormat="1" x14ac:dyDescent="0.15"/>
    <row r="99" spans="1:10" s="55" customFormat="1" x14ac:dyDescent="0.15">
      <c r="A99" s="55">
        <v>0.65747648394420999</v>
      </c>
      <c r="B99" s="55">
        <v>7.719753486863444E-2</v>
      </c>
      <c r="C99" s="55">
        <v>4.4112877067791115E-2</v>
      </c>
      <c r="D99" s="55">
        <v>2.7570548167369445E-2</v>
      </c>
      <c r="E99" s="55">
        <v>3.6328251702886796E-2</v>
      </c>
      <c r="F99" s="55">
        <v>2.2056438533895557E-2</v>
      </c>
      <c r="G99" s="55">
        <v>2.1083360363282518E-2</v>
      </c>
      <c r="H99" s="55">
        <v>2.1407719753486862E-2</v>
      </c>
      <c r="I99" s="55">
        <v>2.4326954265325981E-2</v>
      </c>
      <c r="J99" s="55">
        <v>6.8439831333117096E-2</v>
      </c>
    </row>
    <row r="100" spans="1:10" s="55" customFormat="1" x14ac:dyDescent="0.15">
      <c r="A100" s="55">
        <v>0.70942028985507244</v>
      </c>
      <c r="B100" s="55">
        <v>8.5507246376811591E-2</v>
      </c>
      <c r="C100" s="55">
        <v>5.0362318840579713E-2</v>
      </c>
      <c r="D100" s="55">
        <v>2.6449275362318839E-2</v>
      </c>
      <c r="E100" s="55">
        <v>2.6086956521739129E-2</v>
      </c>
      <c r="F100" s="55">
        <v>1.7753623188405798E-2</v>
      </c>
      <c r="G100" s="56">
        <v>1.0869565217391304E-2</v>
      </c>
      <c r="H100" s="55">
        <v>1.2681159420289856E-2</v>
      </c>
      <c r="I100" s="55">
        <v>1.8840579710144929E-2</v>
      </c>
      <c r="J100" s="55">
        <v>4.2028985507246375E-2</v>
      </c>
    </row>
    <row r="101" spans="1:10" s="55" customFormat="1" x14ac:dyDescent="0.15">
      <c r="A101" s="55">
        <v>0.75740131578947367</v>
      </c>
      <c r="B101" s="55">
        <v>8.8199013157894732E-2</v>
      </c>
      <c r="C101" s="55">
        <v>4.3379934210526314E-2</v>
      </c>
      <c r="D101" s="55">
        <v>2.2615131578947369E-2</v>
      </c>
      <c r="E101" s="55">
        <v>1.8708881578947369E-2</v>
      </c>
      <c r="F101" s="55">
        <v>1.3980263157894737E-2</v>
      </c>
      <c r="G101" s="56">
        <v>9.8684210526315784E-3</v>
      </c>
      <c r="H101" s="55">
        <v>1.3569078947368422E-2</v>
      </c>
      <c r="I101" s="55">
        <v>1.2335526315789474E-2</v>
      </c>
      <c r="J101" s="55">
        <v>1.9942434210526317E-2</v>
      </c>
    </row>
    <row r="102" spans="1:10" s="55" customFormat="1" x14ac:dyDescent="0.15">
      <c r="A102" s="55">
        <v>0.71969080553295361</v>
      </c>
      <c r="B102" s="55">
        <v>7.8519121236777872E-2</v>
      </c>
      <c r="C102" s="55">
        <v>3.8649308380797394E-2</v>
      </c>
      <c r="D102" s="55">
        <v>2.6851098454027666E-2</v>
      </c>
      <c r="E102" s="55">
        <v>2.2782750203417412E-2</v>
      </c>
      <c r="F102" s="55">
        <v>2.7664768104149716E-2</v>
      </c>
      <c r="G102" s="56">
        <v>1.3425549227013833E-2</v>
      </c>
      <c r="H102" s="55">
        <v>1.4239218877135883E-2</v>
      </c>
      <c r="I102" s="55">
        <v>2.3189585028478437E-2</v>
      </c>
      <c r="J102" s="55">
        <v>3.4987794955248168E-2</v>
      </c>
    </row>
    <row r="104" spans="1:10" x14ac:dyDescent="0.15">
      <c r="B104" s="27"/>
      <c r="C104" s="27"/>
      <c r="D104" s="27"/>
      <c r="E104" s="27"/>
      <c r="F104" s="27"/>
      <c r="G104" s="27"/>
      <c r="H104" s="51"/>
    </row>
    <row r="105" spans="1:10" x14ac:dyDescent="0.15">
      <c r="A105">
        <v>0.41154462854088725</v>
      </c>
      <c r="B105">
        <v>9.2998396579369327E-2</v>
      </c>
      <c r="C105">
        <v>5.2912880812399789E-2</v>
      </c>
      <c r="D105">
        <v>4.7033671833244257E-2</v>
      </c>
      <c r="E105">
        <v>5.3981827899518976E-2</v>
      </c>
      <c r="F105">
        <v>4.9171566007482632E-2</v>
      </c>
      <c r="G105" s="24">
        <v>3.4206306787814E-2</v>
      </c>
      <c r="H105">
        <v>4.168893639764832E-2</v>
      </c>
      <c r="I105">
        <v>5.5585248530197758E-2</v>
      </c>
      <c r="J105">
        <v>0.16087653661143772</v>
      </c>
    </row>
    <row r="106" spans="1:10" x14ac:dyDescent="0.15">
      <c r="A106">
        <v>0.46532045654082527</v>
      </c>
      <c r="B106">
        <v>0.10008779631255488</v>
      </c>
      <c r="C106">
        <v>6.4091308165057065E-2</v>
      </c>
      <c r="D106">
        <v>5.7945566286215978E-2</v>
      </c>
      <c r="E106">
        <v>3.6874451273046532E-2</v>
      </c>
      <c r="F106">
        <v>3.7752414398595259E-2</v>
      </c>
      <c r="G106" s="24">
        <v>1.9315188762071993E-2</v>
      </c>
      <c r="H106">
        <v>2.8094820017559263E-2</v>
      </c>
      <c r="I106">
        <v>5.2677787532923619E-2</v>
      </c>
      <c r="J106">
        <v>0.13784021071115013</v>
      </c>
    </row>
    <row r="107" spans="1:10" x14ac:dyDescent="0.15">
      <c r="A107">
        <v>0.49476439790575916</v>
      </c>
      <c r="B107">
        <v>9.7513089005235601E-2</v>
      </c>
      <c r="C107">
        <v>5.9554973821989529E-2</v>
      </c>
      <c r="D107">
        <v>4.9083769633507857E-2</v>
      </c>
      <c r="E107">
        <v>4.6465968586387435E-2</v>
      </c>
      <c r="F107">
        <v>3.0104712041884817E-2</v>
      </c>
      <c r="G107" s="24">
        <v>3.5340314136125657E-2</v>
      </c>
      <c r="H107">
        <v>3.9267015706806283E-2</v>
      </c>
      <c r="I107">
        <v>4.253926701570681E-2</v>
      </c>
      <c r="J107">
        <v>0.10536649214659685</v>
      </c>
    </row>
    <row r="108" spans="1:10" x14ac:dyDescent="0.15">
      <c r="A108">
        <v>0.4486842105263158</v>
      </c>
      <c r="B108">
        <v>7.8947368421052627E-2</v>
      </c>
      <c r="C108">
        <v>5.921052631578947E-2</v>
      </c>
      <c r="D108">
        <v>4.0789473684210528E-2</v>
      </c>
      <c r="E108">
        <v>4.2105263157894736E-2</v>
      </c>
      <c r="F108">
        <v>3.9473684210526314E-2</v>
      </c>
      <c r="G108" s="24">
        <v>5.131578947368421E-2</v>
      </c>
      <c r="H108">
        <v>4.2105263157894736E-2</v>
      </c>
      <c r="I108">
        <v>6.1842105263157893E-2</v>
      </c>
      <c r="J108">
        <v>0.13552631578947369</v>
      </c>
    </row>
    <row r="109" spans="1:10" x14ac:dyDescent="0.15">
      <c r="B109" s="27"/>
      <c r="C109" s="27"/>
      <c r="D109" s="27"/>
      <c r="E109" s="27"/>
      <c r="F109" s="27"/>
      <c r="G109" s="27"/>
      <c r="H109" s="51"/>
    </row>
    <row r="111" spans="1:10" x14ac:dyDescent="0.15">
      <c r="A111">
        <v>0.37026945201332123</v>
      </c>
      <c r="B111">
        <v>9.445958219800181E-2</v>
      </c>
      <c r="C111">
        <v>5.9037238873751133E-2</v>
      </c>
      <c r="D111">
        <v>4.6927036027853468E-2</v>
      </c>
      <c r="E111">
        <v>4.5413260672116255E-2</v>
      </c>
      <c r="F111">
        <v>4.9954586739327886E-2</v>
      </c>
      <c r="G111" s="24">
        <v>3.5422343324250684E-2</v>
      </c>
      <c r="H111">
        <v>4.0569179533757188E-2</v>
      </c>
      <c r="I111">
        <v>6.3578564940962756E-2</v>
      </c>
      <c r="J111">
        <v>0.1943687556766576</v>
      </c>
    </row>
    <row r="112" spans="1:10" x14ac:dyDescent="0.15">
      <c r="A112">
        <v>0.42391789379741185</v>
      </c>
      <c r="B112">
        <v>9.4600624721106655E-2</v>
      </c>
      <c r="C112">
        <v>6.9611780455153954E-2</v>
      </c>
      <c r="D112">
        <v>4.9085229808121376E-2</v>
      </c>
      <c r="E112">
        <v>4.2838018741633198E-2</v>
      </c>
      <c r="F112">
        <v>4.5069165551093263E-2</v>
      </c>
      <c r="G112" s="24">
        <v>3.2128514056224897E-2</v>
      </c>
      <c r="H112">
        <v>3.8375725122713075E-2</v>
      </c>
      <c r="I112">
        <v>5.176260597947345E-2</v>
      </c>
      <c r="J112">
        <v>0.15261044176706828</v>
      </c>
    </row>
    <row r="113" spans="1:10" x14ac:dyDescent="0.15">
      <c r="A113">
        <v>0.50051072522982631</v>
      </c>
      <c r="B113">
        <v>9.2611508341845422E-2</v>
      </c>
      <c r="C113">
        <v>5.8222676200204292E-2</v>
      </c>
      <c r="D113">
        <v>4.49438202247191E-2</v>
      </c>
      <c r="E113">
        <v>4.1879468845760978E-2</v>
      </c>
      <c r="F113">
        <v>3.5750766087844742E-2</v>
      </c>
      <c r="G113" s="24">
        <v>3.8815117466802863E-2</v>
      </c>
      <c r="H113">
        <v>3.7453183520599252E-2</v>
      </c>
      <c r="I113">
        <v>4.7327204630575416E-2</v>
      </c>
      <c r="J113">
        <v>0.10248552945182159</v>
      </c>
    </row>
    <row r="114" spans="1:10" x14ac:dyDescent="0.15">
      <c r="A114">
        <v>0.45726728361458902</v>
      </c>
      <c r="B114">
        <v>8.5465432770821997E-2</v>
      </c>
      <c r="C114">
        <v>6.1513336962438755E-2</v>
      </c>
      <c r="D114">
        <v>4.5182362547632006E-2</v>
      </c>
      <c r="E114">
        <v>4.4093630919978227E-2</v>
      </c>
      <c r="F114">
        <v>4.463799673380512E-2</v>
      </c>
      <c r="G114" s="24">
        <v>4.0827436037016877E-2</v>
      </c>
      <c r="H114">
        <v>4.6815459989112684E-2</v>
      </c>
      <c r="I114">
        <v>5.2803483941208491E-2</v>
      </c>
      <c r="J114">
        <v>0.12139357648339684</v>
      </c>
    </row>
    <row r="116" spans="1:10" x14ac:dyDescent="0.15">
      <c r="A116" s="51"/>
      <c r="B116" s="51"/>
      <c r="C116" s="51"/>
      <c r="D116" s="51"/>
      <c r="E116" s="51"/>
      <c r="F116" s="51"/>
      <c r="G116" s="51"/>
      <c r="H116" s="51"/>
    </row>
    <row r="117" spans="1:10" x14ac:dyDescent="0.15">
      <c r="A117" s="51"/>
      <c r="B117" s="51"/>
      <c r="C117" s="51"/>
      <c r="D117" s="51"/>
      <c r="E117" s="51"/>
      <c r="F117" s="51"/>
      <c r="G117" s="51"/>
      <c r="H117" s="51"/>
    </row>
    <row r="122" spans="1:10" x14ac:dyDescent="0.15">
      <c r="B122" s="27"/>
      <c r="C122" s="27"/>
      <c r="D122" s="27"/>
      <c r="E122" s="27"/>
      <c r="F122" s="27"/>
      <c r="G122" s="27"/>
      <c r="H122" s="51"/>
    </row>
    <row r="132" spans="1:8" x14ac:dyDescent="0.15">
      <c r="B132" s="27"/>
      <c r="C132" s="27"/>
      <c r="D132" s="27"/>
      <c r="E132" s="27"/>
      <c r="F132" s="27"/>
      <c r="G132" s="27"/>
      <c r="H132" s="51"/>
    </row>
    <row r="134" spans="1:8" x14ac:dyDescent="0.15">
      <c r="A134" s="51"/>
      <c r="B134" s="51"/>
      <c r="C134" s="51"/>
      <c r="D134" s="51"/>
      <c r="E134" s="51"/>
      <c r="F134" s="51"/>
      <c r="G134" s="51"/>
      <c r="H134" s="51"/>
    </row>
    <row r="135" spans="1:8" x14ac:dyDescent="0.15">
      <c r="A135" s="51"/>
      <c r="B135" s="51"/>
      <c r="C135" s="51"/>
      <c r="D135" s="51"/>
      <c r="E135" s="51"/>
      <c r="F135" s="51"/>
      <c r="G135" s="51"/>
      <c r="H135" s="51"/>
    </row>
    <row r="140" spans="1:8" x14ac:dyDescent="0.15">
      <c r="B140" s="27"/>
      <c r="C140" s="27"/>
      <c r="D140" s="27"/>
      <c r="E140" s="27"/>
      <c r="F140" s="27"/>
      <c r="G140" s="27"/>
      <c r="H140" s="51"/>
    </row>
    <row r="150" spans="1:8" x14ac:dyDescent="0.15">
      <c r="B150" s="27"/>
      <c r="C150" s="27"/>
      <c r="D150" s="27"/>
      <c r="E150" s="27"/>
      <c r="F150" s="27"/>
      <c r="G150" s="27"/>
      <c r="H150" s="51"/>
    </row>
    <row r="152" spans="1:8" x14ac:dyDescent="0.15">
      <c r="A152" s="51"/>
      <c r="B152" s="51"/>
      <c r="C152" s="51"/>
      <c r="D152" s="51"/>
      <c r="E152" s="51"/>
      <c r="F152" s="51"/>
      <c r="G152" s="51"/>
      <c r="H152" s="51"/>
    </row>
    <row r="153" spans="1:8" x14ac:dyDescent="0.15">
      <c r="A153" s="51"/>
      <c r="B153" s="51"/>
      <c r="C153" s="51"/>
      <c r="D153" s="51"/>
      <c r="E153" s="51"/>
      <c r="F153" s="51"/>
      <c r="G153" s="51"/>
      <c r="H153" s="5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workbookViewId="0">
      <selection activeCell="P3" sqref="P3:Q129"/>
    </sheetView>
  </sheetViews>
  <sheetFormatPr baseColWidth="10" defaultRowHeight="15" x14ac:dyDescent="0.15"/>
  <cols>
    <col min="1" max="1" width="10.83203125" style="21"/>
    <col min="2" max="2" width="11.1640625" style="21" customWidth="1"/>
    <col min="3" max="4" width="10.83203125" style="21"/>
    <col min="5" max="8" width="13.1640625" style="22" customWidth="1"/>
    <col min="9" max="10" width="10.83203125" style="21"/>
    <col min="11" max="12" width="13.1640625" style="22" customWidth="1"/>
    <col min="15" max="15" width="10.83203125" style="21" customWidth="1"/>
    <col min="16" max="19" width="11.83203125" style="7" customWidth="1"/>
  </cols>
  <sheetData>
    <row r="1" spans="1:19" x14ac:dyDescent="0.15">
      <c r="A1" s="21" t="s">
        <v>62</v>
      </c>
      <c r="B1" s="21" t="s">
        <v>19</v>
      </c>
      <c r="C1" s="21" t="str">
        <f>[61]PARS_syn_stat!B1</f>
        <v>AT_GC</v>
      </c>
      <c r="D1" s="21" t="str">
        <f>[61]PARS_syn_stat!C1</f>
        <v>GC_AT</v>
      </c>
      <c r="E1" s="22" t="s">
        <v>46</v>
      </c>
      <c r="F1" s="22" t="s">
        <v>71</v>
      </c>
      <c r="I1" s="21" t="s">
        <v>23</v>
      </c>
      <c r="J1" s="21" t="s">
        <v>19</v>
      </c>
      <c r="K1" s="22" t="s">
        <v>44</v>
      </c>
      <c r="L1" s="22" t="s">
        <v>45</v>
      </c>
      <c r="P1" s="61" t="s">
        <v>76</v>
      </c>
      <c r="Q1" s="61"/>
      <c r="R1" s="61" t="s">
        <v>77</v>
      </c>
      <c r="S1" s="61"/>
    </row>
    <row r="2" spans="1:19" x14ac:dyDescent="0.15">
      <c r="A2" s="60">
        <v>1</v>
      </c>
      <c r="B2" s="21" t="s">
        <v>21</v>
      </c>
      <c r="C2" s="21">
        <f>[62]PARS_syn_stat!B2</f>
        <v>798</v>
      </c>
      <c r="D2" s="21">
        <f>[62]PARS_syn_stat!C2</f>
        <v>841</v>
      </c>
      <c r="E2" s="22">
        <f>C2/(C2+C3)</f>
        <v>0.56999999999999995</v>
      </c>
      <c r="F2" s="22">
        <f>D2/(D2+D3)</f>
        <v>0.61119186046511631</v>
      </c>
      <c r="I2" s="60">
        <v>1</v>
      </c>
      <c r="J2" s="21" t="s">
        <v>47</v>
      </c>
      <c r="K2" s="22">
        <f t="shared" ref="K2:L65" si="0">E2</f>
        <v>0.56999999999999995</v>
      </c>
      <c r="L2" s="22">
        <f t="shared" si="0"/>
        <v>0.61119186046511631</v>
      </c>
      <c r="O2" s="21" t="s">
        <v>23</v>
      </c>
      <c r="P2" s="7" t="s">
        <v>72</v>
      </c>
      <c r="Q2" s="7" t="s">
        <v>73</v>
      </c>
      <c r="R2" s="7" t="s">
        <v>74</v>
      </c>
      <c r="S2" s="7" t="s">
        <v>75</v>
      </c>
    </row>
    <row r="3" spans="1:19" x14ac:dyDescent="0.15">
      <c r="A3" s="60"/>
      <c r="B3" s="21" t="s">
        <v>22</v>
      </c>
      <c r="C3" s="21">
        <f>[62]PARS_syn_stat!B3</f>
        <v>602</v>
      </c>
      <c r="D3" s="21">
        <f>[62]PARS_syn_stat!C3</f>
        <v>535</v>
      </c>
      <c r="E3" s="22">
        <f>C3/(C2+C3)</f>
        <v>0.43</v>
      </c>
      <c r="F3" s="22">
        <f>D3/(D2+D3)</f>
        <v>0.38880813953488375</v>
      </c>
      <c r="I3" s="60"/>
      <c r="J3" s="21" t="s">
        <v>22</v>
      </c>
      <c r="K3" s="22">
        <f t="shared" si="0"/>
        <v>0.43</v>
      </c>
      <c r="L3" s="22">
        <f t="shared" si="0"/>
        <v>0.38880813953488375</v>
      </c>
      <c r="O3" s="21">
        <v>1</v>
      </c>
      <c r="P3" s="7">
        <f ca="1">INDIRECT("K"&amp;ROW(K1)*2)</f>
        <v>0.56999999999999995</v>
      </c>
      <c r="Q3" s="7">
        <f ca="1">INDIRECT("K"&amp;ROW(J1)*2+1)</f>
        <v>0.43</v>
      </c>
      <c r="R3" s="7">
        <f ca="1">INDIRECT("l"&amp;ROW(L1)*2)</f>
        <v>0.61119186046511631</v>
      </c>
      <c r="S3" s="7">
        <f ca="1">INDIRECT("l"&amp;ROW(L1)*2+1)</f>
        <v>0.38880813953488375</v>
      </c>
    </row>
    <row r="4" spans="1:19" x14ac:dyDescent="0.15">
      <c r="A4" s="60">
        <v>2</v>
      </c>
      <c r="B4" s="21" t="s">
        <v>21</v>
      </c>
      <c r="C4" s="21">
        <f>[62]PARS_syn_stat!B4</f>
        <v>291</v>
      </c>
      <c r="D4" s="21">
        <f>[62]PARS_syn_stat!C4</f>
        <v>397</v>
      </c>
      <c r="E4" s="22">
        <f>C4/(C4+C5)</f>
        <v>0.56286266924564798</v>
      </c>
      <c r="F4" s="22">
        <f>D4/(D4+D5)</f>
        <v>0.66387959866220736</v>
      </c>
      <c r="I4" s="60">
        <v>2</v>
      </c>
      <c r="J4" s="21" t="s">
        <v>21</v>
      </c>
      <c r="K4" s="22">
        <f t="shared" si="0"/>
        <v>0.56286266924564798</v>
      </c>
      <c r="L4" s="22">
        <f t="shared" si="0"/>
        <v>0.66387959866220736</v>
      </c>
      <c r="O4" s="21">
        <v>2</v>
      </c>
      <c r="P4" s="7">
        <f ca="1">INDIRECT("K"&amp;ROW(K2)*2)</f>
        <v>0.56286266924564798</v>
      </c>
      <c r="Q4" s="7">
        <f ca="1">INDIRECT("K"&amp;ROW(J2)*2+1)</f>
        <v>0.43713733075435202</v>
      </c>
      <c r="R4" s="7">
        <f t="shared" ref="R4:R67" ca="1" si="1">INDIRECT("l"&amp;ROW(L2)*2)</f>
        <v>0.66387959866220736</v>
      </c>
      <c r="S4" s="7">
        <f t="shared" ref="S4:S67" ca="1" si="2">INDIRECT("l"&amp;ROW(L2)*2+1)</f>
        <v>0.33612040133779264</v>
      </c>
    </row>
    <row r="5" spans="1:19" x14ac:dyDescent="0.15">
      <c r="A5" s="60"/>
      <c r="B5" s="21" t="s">
        <v>22</v>
      </c>
      <c r="C5" s="21">
        <f>[62]PARS_syn_stat!B5</f>
        <v>226</v>
      </c>
      <c r="D5" s="21">
        <f>[62]PARS_syn_stat!C5</f>
        <v>201</v>
      </c>
      <c r="E5" s="22">
        <f>C5/(C4+C5)</f>
        <v>0.43713733075435202</v>
      </c>
      <c r="F5" s="22">
        <f>D5/(D4+D5)</f>
        <v>0.33612040133779264</v>
      </c>
      <c r="I5" s="60"/>
      <c r="J5" s="21" t="s">
        <v>22</v>
      </c>
      <c r="K5" s="22">
        <f t="shared" si="0"/>
        <v>0.43713733075435202</v>
      </c>
      <c r="L5" s="22">
        <f t="shared" si="0"/>
        <v>0.33612040133779264</v>
      </c>
      <c r="O5" s="21">
        <v>3</v>
      </c>
      <c r="P5" s="7">
        <f ca="1">INDIRECT("K"&amp;ROW(K3)*2)</f>
        <v>0.53830645161290325</v>
      </c>
      <c r="Q5" s="7">
        <f t="shared" ref="Q5:Q68" ca="1" si="3">INDIRECT("K"&amp;ROW(J3)*2+1)</f>
        <v>0.46169354838709675</v>
      </c>
      <c r="R5" s="7">
        <f t="shared" ca="1" si="1"/>
        <v>0.64139344262295084</v>
      </c>
      <c r="S5" s="7">
        <f t="shared" ca="1" si="2"/>
        <v>0.35860655737704916</v>
      </c>
    </row>
    <row r="6" spans="1:19" x14ac:dyDescent="0.15">
      <c r="A6" s="60">
        <v>3</v>
      </c>
      <c r="B6" s="21" t="s">
        <v>21</v>
      </c>
      <c r="C6" s="21">
        <f>[62]PARS_syn_stat!B6</f>
        <v>267</v>
      </c>
      <c r="D6" s="21">
        <f>[62]PARS_syn_stat!C6</f>
        <v>313</v>
      </c>
      <c r="E6" s="22">
        <f>C6/(C6+C7)</f>
        <v>0.53830645161290325</v>
      </c>
      <c r="F6" s="22">
        <f>D6/(D6+D7)</f>
        <v>0.64139344262295084</v>
      </c>
      <c r="I6" s="60">
        <v>3</v>
      </c>
      <c r="J6" s="21" t="s">
        <v>21</v>
      </c>
      <c r="K6" s="22">
        <f t="shared" si="0"/>
        <v>0.53830645161290325</v>
      </c>
      <c r="L6" s="22">
        <f t="shared" si="0"/>
        <v>0.64139344262295084</v>
      </c>
      <c r="O6" s="21">
        <v>4</v>
      </c>
      <c r="P6" s="7">
        <f t="shared" ref="P6:P8" ca="1" si="4">INDIRECT("K"&amp;ROW(K4)*2)</f>
        <v>0.59154929577464788</v>
      </c>
      <c r="Q6" s="7">
        <f t="shared" ca="1" si="3"/>
        <v>0.40845070422535212</v>
      </c>
      <c r="R6" s="7">
        <f t="shared" ca="1" si="1"/>
        <v>0.6767676767676768</v>
      </c>
      <c r="S6" s="7">
        <f t="shared" ca="1" si="2"/>
        <v>0.32323232323232326</v>
      </c>
    </row>
    <row r="7" spans="1:19" x14ac:dyDescent="0.15">
      <c r="A7" s="60"/>
      <c r="B7" s="21" t="s">
        <v>22</v>
      </c>
      <c r="C7" s="21">
        <f>[62]PARS_syn_stat!B7</f>
        <v>229</v>
      </c>
      <c r="D7" s="21">
        <f>[62]PARS_syn_stat!C7</f>
        <v>175</v>
      </c>
      <c r="E7" s="22">
        <f>C7/(C6+C7)</f>
        <v>0.46169354838709675</v>
      </c>
      <c r="F7" s="22">
        <f>D7/(D6+D7)</f>
        <v>0.35860655737704916</v>
      </c>
      <c r="I7" s="60"/>
      <c r="J7" s="21" t="s">
        <v>22</v>
      </c>
      <c r="K7" s="22">
        <f t="shared" si="0"/>
        <v>0.46169354838709675</v>
      </c>
      <c r="L7" s="22">
        <f t="shared" si="0"/>
        <v>0.35860655737704916</v>
      </c>
      <c r="O7" s="21">
        <v>5</v>
      </c>
      <c r="P7" s="7">
        <f t="shared" ca="1" si="4"/>
        <v>0.50952380952380949</v>
      </c>
      <c r="Q7" s="7">
        <f t="shared" ca="1" si="3"/>
        <v>0.49047619047619045</v>
      </c>
      <c r="R7" s="7">
        <f t="shared" ca="1" si="1"/>
        <v>0.60580912863070535</v>
      </c>
      <c r="S7" s="7">
        <f t="shared" ca="1" si="2"/>
        <v>0.39419087136929459</v>
      </c>
    </row>
    <row r="8" spans="1:19" x14ac:dyDescent="0.15">
      <c r="A8" s="60">
        <v>4</v>
      </c>
      <c r="B8" s="21" t="s">
        <v>21</v>
      </c>
      <c r="C8" s="21">
        <f>[62]PARS_syn_stat!B8</f>
        <v>168</v>
      </c>
      <c r="D8" s="21">
        <f>[62]PARS_syn_stat!C8</f>
        <v>201</v>
      </c>
      <c r="E8" s="22">
        <f>C8/(C8+C9)</f>
        <v>0.59154929577464788</v>
      </c>
      <c r="F8" s="22">
        <f>D8/(D8+D9)</f>
        <v>0.6767676767676768</v>
      </c>
      <c r="I8" s="60">
        <v>4</v>
      </c>
      <c r="J8" s="21" t="s">
        <v>21</v>
      </c>
      <c r="K8" s="22">
        <f t="shared" si="0"/>
        <v>0.59154929577464788</v>
      </c>
      <c r="L8" s="22">
        <f t="shared" si="0"/>
        <v>0.6767676767676768</v>
      </c>
      <c r="O8" s="21">
        <v>6</v>
      </c>
      <c r="P8" s="7">
        <f t="shared" ca="1" si="4"/>
        <v>0.49446494464944651</v>
      </c>
      <c r="Q8" s="7">
        <f t="shared" ca="1" si="3"/>
        <v>0.50553505535055354</v>
      </c>
      <c r="R8" s="7">
        <f t="shared" ca="1" si="1"/>
        <v>0.61702127659574468</v>
      </c>
      <c r="S8" s="7">
        <f t="shared" ca="1" si="2"/>
        <v>0.38297872340425532</v>
      </c>
    </row>
    <row r="9" spans="1:19" x14ac:dyDescent="0.15">
      <c r="A9" s="60"/>
      <c r="B9" s="21" t="s">
        <v>22</v>
      </c>
      <c r="C9" s="21">
        <f>[62]PARS_syn_stat!B9</f>
        <v>116</v>
      </c>
      <c r="D9" s="21">
        <f>[62]PARS_syn_stat!C9</f>
        <v>96</v>
      </c>
      <c r="E9" s="22">
        <f>C9/(C8+C9)</f>
        <v>0.40845070422535212</v>
      </c>
      <c r="F9" s="22">
        <f>D9/(D8+D9)</f>
        <v>0.32323232323232326</v>
      </c>
      <c r="I9" s="60"/>
      <c r="J9" s="21" t="s">
        <v>22</v>
      </c>
      <c r="K9" s="22">
        <f t="shared" si="0"/>
        <v>0.40845070422535212</v>
      </c>
      <c r="L9" s="22">
        <f t="shared" si="0"/>
        <v>0.32323232323232326</v>
      </c>
      <c r="O9" s="21">
        <v>7</v>
      </c>
      <c r="P9" s="7">
        <f ca="1">INDIRECT("K"&amp;ROW(K7)*2)</f>
        <v>0.47513812154696133</v>
      </c>
      <c r="Q9" s="7">
        <f t="shared" ca="1" si="3"/>
        <v>0.52486187845303867</v>
      </c>
      <c r="R9" s="7">
        <f t="shared" ca="1" si="1"/>
        <v>0.63387978142076506</v>
      </c>
      <c r="S9" s="7">
        <f t="shared" ca="1" si="2"/>
        <v>0.36612021857923499</v>
      </c>
    </row>
    <row r="10" spans="1:19" x14ac:dyDescent="0.15">
      <c r="A10" s="60">
        <v>5</v>
      </c>
      <c r="B10" s="21" t="s">
        <v>21</v>
      </c>
      <c r="C10" s="21">
        <f>[62]PARS_syn_stat!B10</f>
        <v>107</v>
      </c>
      <c r="D10" s="21">
        <f>[62]PARS_syn_stat!C10</f>
        <v>146</v>
      </c>
      <c r="E10" s="22">
        <f>C10/(C10+C11)</f>
        <v>0.50952380952380949</v>
      </c>
      <c r="F10" s="22">
        <f>D10/(D10+D11)</f>
        <v>0.60580912863070535</v>
      </c>
      <c r="I10" s="60">
        <v>5</v>
      </c>
      <c r="J10" s="21" t="s">
        <v>21</v>
      </c>
      <c r="K10" s="22">
        <f t="shared" si="0"/>
        <v>0.50952380952380949</v>
      </c>
      <c r="L10" s="22">
        <f t="shared" si="0"/>
        <v>0.60580912863070535</v>
      </c>
      <c r="O10" s="21">
        <v>8</v>
      </c>
      <c r="P10" s="7">
        <f ca="1">INDIRECT("K"&amp;ROW(K8)*2)</f>
        <v>0.56886227544910184</v>
      </c>
      <c r="Q10" s="7">
        <f t="shared" ca="1" si="3"/>
        <v>0.43113772455089822</v>
      </c>
      <c r="R10" s="7">
        <f t="shared" ca="1" si="1"/>
        <v>0.59763313609467461</v>
      </c>
      <c r="S10" s="7">
        <f t="shared" ca="1" si="2"/>
        <v>0.40236686390532544</v>
      </c>
    </row>
    <row r="11" spans="1:19" x14ac:dyDescent="0.15">
      <c r="A11" s="60"/>
      <c r="B11" s="21" t="s">
        <v>22</v>
      </c>
      <c r="C11" s="21">
        <f>[62]PARS_syn_stat!B11</f>
        <v>103</v>
      </c>
      <c r="D11" s="21">
        <f>[62]PARS_syn_stat!C11</f>
        <v>95</v>
      </c>
      <c r="E11" s="22">
        <f>C11/(C10+C11)</f>
        <v>0.49047619047619045</v>
      </c>
      <c r="F11" s="22">
        <f>D11/(D10+D11)</f>
        <v>0.39419087136929459</v>
      </c>
      <c r="I11" s="60"/>
      <c r="J11" s="21" t="s">
        <v>22</v>
      </c>
      <c r="K11" s="22">
        <f t="shared" si="0"/>
        <v>0.49047619047619045</v>
      </c>
      <c r="L11" s="22">
        <f t="shared" si="0"/>
        <v>0.39419087136929459</v>
      </c>
      <c r="O11" s="21">
        <v>9</v>
      </c>
      <c r="P11" s="7">
        <f t="shared" ref="P11:P74" ca="1" si="5">INDIRECT("K"&amp;ROW(K9)*2)</f>
        <v>0.54854368932038833</v>
      </c>
      <c r="Q11" s="7">
        <f t="shared" ca="1" si="3"/>
        <v>0.45145631067961167</v>
      </c>
      <c r="R11" s="7">
        <f t="shared" ca="1" si="1"/>
        <v>0.7010309278350515</v>
      </c>
      <c r="S11" s="7">
        <f t="shared" ca="1" si="2"/>
        <v>0.29896907216494845</v>
      </c>
    </row>
    <row r="12" spans="1:19" x14ac:dyDescent="0.15">
      <c r="A12" s="60">
        <v>6</v>
      </c>
      <c r="B12" s="21" t="s">
        <v>21</v>
      </c>
      <c r="C12" s="21">
        <f>[62]PARS_syn_stat!B12</f>
        <v>134</v>
      </c>
      <c r="D12" s="21">
        <f>[62]PARS_syn_stat!C12</f>
        <v>174</v>
      </c>
      <c r="E12" s="22">
        <f t="shared" ref="E12:F12" si="6">C12/(C12+C13)</f>
        <v>0.49446494464944651</v>
      </c>
      <c r="F12" s="22">
        <f t="shared" si="6"/>
        <v>0.61702127659574468</v>
      </c>
      <c r="I12" s="60">
        <v>6</v>
      </c>
      <c r="J12" s="21" t="s">
        <v>21</v>
      </c>
      <c r="K12" s="22">
        <f t="shared" si="0"/>
        <v>0.49446494464944651</v>
      </c>
      <c r="L12" s="22">
        <f t="shared" si="0"/>
        <v>0.61702127659574468</v>
      </c>
      <c r="O12" s="21">
        <v>10</v>
      </c>
      <c r="P12" s="7">
        <f t="shared" ca="1" si="5"/>
        <v>0.51851851851851849</v>
      </c>
      <c r="Q12" s="7">
        <f t="shared" ca="1" si="3"/>
        <v>0.48148148148148145</v>
      </c>
      <c r="R12" s="7">
        <f t="shared" ca="1" si="1"/>
        <v>0.71794871794871795</v>
      </c>
      <c r="S12" s="7">
        <f t="shared" ca="1" si="2"/>
        <v>0.28205128205128205</v>
      </c>
    </row>
    <row r="13" spans="1:19" x14ac:dyDescent="0.15">
      <c r="A13" s="60"/>
      <c r="B13" s="21" t="s">
        <v>22</v>
      </c>
      <c r="C13" s="21">
        <f>[62]PARS_syn_stat!B13</f>
        <v>137</v>
      </c>
      <c r="D13" s="21">
        <f>[62]PARS_syn_stat!C13</f>
        <v>108</v>
      </c>
      <c r="E13" s="22">
        <f t="shared" ref="E13:F13" si="7">C13/(C12+C13)</f>
        <v>0.50553505535055354</v>
      </c>
      <c r="F13" s="22">
        <f t="shared" si="7"/>
        <v>0.38297872340425532</v>
      </c>
      <c r="I13" s="60"/>
      <c r="J13" s="21" t="s">
        <v>22</v>
      </c>
      <c r="K13" s="22">
        <f t="shared" si="0"/>
        <v>0.50553505535055354</v>
      </c>
      <c r="L13" s="22">
        <f t="shared" si="0"/>
        <v>0.38297872340425532</v>
      </c>
      <c r="O13" s="21">
        <v>11</v>
      </c>
      <c r="P13" s="7">
        <f t="shared" ca="1" si="5"/>
        <v>0.56198347107438018</v>
      </c>
      <c r="Q13" s="7">
        <f t="shared" ca="1" si="3"/>
        <v>0.43801652892561982</v>
      </c>
      <c r="R13" s="7">
        <f t="shared" ca="1" si="1"/>
        <v>0.59482758620689657</v>
      </c>
      <c r="S13" s="7">
        <f t="shared" ca="1" si="2"/>
        <v>0.40517241379310343</v>
      </c>
    </row>
    <row r="14" spans="1:19" x14ac:dyDescent="0.15">
      <c r="A14" s="60">
        <v>7</v>
      </c>
      <c r="B14" s="21" t="s">
        <v>21</v>
      </c>
      <c r="C14" s="21">
        <f>[62]PARS_syn_stat!B14</f>
        <v>86</v>
      </c>
      <c r="D14" s="21">
        <f>[62]PARS_syn_stat!C14</f>
        <v>116</v>
      </c>
      <c r="E14" s="22">
        <f t="shared" ref="E14:F14" si="8">C14/(C14+C15)</f>
        <v>0.47513812154696133</v>
      </c>
      <c r="F14" s="22">
        <f t="shared" si="8"/>
        <v>0.63387978142076506</v>
      </c>
      <c r="I14" s="60">
        <v>7</v>
      </c>
      <c r="J14" s="21" t="s">
        <v>21</v>
      </c>
      <c r="K14" s="22">
        <f t="shared" si="0"/>
        <v>0.47513812154696133</v>
      </c>
      <c r="L14" s="22">
        <f t="shared" si="0"/>
        <v>0.63387978142076506</v>
      </c>
      <c r="O14" s="21">
        <v>12</v>
      </c>
      <c r="P14" s="7">
        <f t="shared" ca="1" si="5"/>
        <v>0.57999999999999996</v>
      </c>
      <c r="Q14" s="7">
        <f t="shared" ca="1" si="3"/>
        <v>0.42</v>
      </c>
      <c r="R14" s="7">
        <f t="shared" ca="1" si="1"/>
        <v>0.66666666666666663</v>
      </c>
      <c r="S14" s="7">
        <f t="shared" ca="1" si="2"/>
        <v>0.33333333333333331</v>
      </c>
    </row>
    <row r="15" spans="1:19" x14ac:dyDescent="0.15">
      <c r="A15" s="60"/>
      <c r="B15" s="21" t="s">
        <v>22</v>
      </c>
      <c r="C15" s="21">
        <f>[62]PARS_syn_stat!B15</f>
        <v>95</v>
      </c>
      <c r="D15" s="21">
        <f>[62]PARS_syn_stat!C15</f>
        <v>67</v>
      </c>
      <c r="E15" s="22">
        <f t="shared" ref="E15:F15" si="9">C15/(C14+C15)</f>
        <v>0.52486187845303867</v>
      </c>
      <c r="F15" s="22">
        <f t="shared" si="9"/>
        <v>0.36612021857923499</v>
      </c>
      <c r="I15" s="60"/>
      <c r="J15" s="21" t="s">
        <v>22</v>
      </c>
      <c r="K15" s="22">
        <f t="shared" si="0"/>
        <v>0.52486187845303867</v>
      </c>
      <c r="L15" s="22">
        <f t="shared" si="0"/>
        <v>0.36612021857923499</v>
      </c>
      <c r="O15" s="21">
        <v>13</v>
      </c>
      <c r="P15" s="7">
        <f t="shared" ca="1" si="5"/>
        <v>0.60185185185185186</v>
      </c>
      <c r="Q15" s="7">
        <f t="shared" ca="1" si="3"/>
        <v>0.39814814814814814</v>
      </c>
      <c r="R15" s="7">
        <f t="shared" ca="1" si="1"/>
        <v>0.65591397849462363</v>
      </c>
      <c r="S15" s="7">
        <f t="shared" ca="1" si="2"/>
        <v>0.34408602150537637</v>
      </c>
    </row>
    <row r="16" spans="1:19" x14ac:dyDescent="0.15">
      <c r="A16" s="60">
        <v>8</v>
      </c>
      <c r="B16" s="21" t="s">
        <v>21</v>
      </c>
      <c r="C16" s="21">
        <f>[62]PARS_syn_stat!B16</f>
        <v>95</v>
      </c>
      <c r="D16" s="21">
        <f>[62]PARS_syn_stat!C16</f>
        <v>101</v>
      </c>
      <c r="E16" s="22">
        <f t="shared" ref="E16:F16" si="10">C16/(C16+C17)</f>
        <v>0.56886227544910184</v>
      </c>
      <c r="F16" s="22">
        <f t="shared" si="10"/>
        <v>0.59763313609467461</v>
      </c>
      <c r="I16" s="60">
        <v>8</v>
      </c>
      <c r="J16" s="21" t="s">
        <v>21</v>
      </c>
      <c r="K16" s="22">
        <f t="shared" si="0"/>
        <v>0.56886227544910184</v>
      </c>
      <c r="L16" s="22">
        <f t="shared" si="0"/>
        <v>0.59763313609467461</v>
      </c>
      <c r="O16" s="21">
        <v>14</v>
      </c>
      <c r="P16" s="7">
        <f t="shared" ca="1" si="5"/>
        <v>0.49</v>
      </c>
      <c r="Q16" s="7">
        <f t="shared" ca="1" si="3"/>
        <v>0.51</v>
      </c>
      <c r="R16" s="7">
        <f t="shared" ca="1" si="1"/>
        <v>0.59302325581395354</v>
      </c>
      <c r="S16" s="7">
        <f t="shared" ca="1" si="2"/>
        <v>0.40697674418604651</v>
      </c>
    </row>
    <row r="17" spans="1:19" x14ac:dyDescent="0.15">
      <c r="A17" s="60"/>
      <c r="B17" s="21" t="s">
        <v>22</v>
      </c>
      <c r="C17" s="21">
        <f>[62]PARS_syn_stat!B17</f>
        <v>72</v>
      </c>
      <c r="D17" s="21">
        <f>[62]PARS_syn_stat!C17</f>
        <v>68</v>
      </c>
      <c r="E17" s="22">
        <f t="shared" ref="E17:F17" si="11">C17/(C16+C17)</f>
        <v>0.43113772455089822</v>
      </c>
      <c r="F17" s="22">
        <f t="shared" si="11"/>
        <v>0.40236686390532544</v>
      </c>
      <c r="I17" s="60"/>
      <c r="J17" s="21" t="s">
        <v>22</v>
      </c>
      <c r="K17" s="22">
        <f t="shared" si="0"/>
        <v>0.43113772455089822</v>
      </c>
      <c r="L17" s="22">
        <f t="shared" si="0"/>
        <v>0.40236686390532544</v>
      </c>
      <c r="O17" s="21">
        <v>15</v>
      </c>
      <c r="P17" s="7">
        <f t="shared" ca="1" si="5"/>
        <v>0.54545454545454541</v>
      </c>
      <c r="Q17" s="7">
        <f t="shared" ca="1" si="3"/>
        <v>0.45454545454545453</v>
      </c>
      <c r="R17" s="7">
        <f t="shared" ca="1" si="1"/>
        <v>0.55000000000000004</v>
      </c>
      <c r="S17" s="7">
        <f t="shared" ca="1" si="2"/>
        <v>0.45</v>
      </c>
    </row>
    <row r="18" spans="1:19" x14ac:dyDescent="0.15">
      <c r="A18" s="60">
        <v>9</v>
      </c>
      <c r="B18" s="21" t="s">
        <v>21</v>
      </c>
      <c r="C18" s="21">
        <f>[62]PARS_syn_stat!B18</f>
        <v>113</v>
      </c>
      <c r="D18" s="21">
        <f>[62]PARS_syn_stat!C18</f>
        <v>136</v>
      </c>
      <c r="E18" s="22">
        <f t="shared" ref="E18:F18" si="12">C18/(C18+C19)</f>
        <v>0.54854368932038833</v>
      </c>
      <c r="F18" s="22">
        <f t="shared" si="12"/>
        <v>0.7010309278350515</v>
      </c>
      <c r="I18" s="60">
        <v>9</v>
      </c>
      <c r="J18" s="21" t="s">
        <v>21</v>
      </c>
      <c r="K18" s="22">
        <f t="shared" si="0"/>
        <v>0.54854368932038833</v>
      </c>
      <c r="L18" s="22">
        <f t="shared" si="0"/>
        <v>0.7010309278350515</v>
      </c>
      <c r="O18" s="21">
        <v>16</v>
      </c>
      <c r="P18" s="7">
        <f t="shared" ca="1" si="5"/>
        <v>0.67105263157894735</v>
      </c>
      <c r="Q18" s="7">
        <f t="shared" ca="1" si="3"/>
        <v>0.32894736842105265</v>
      </c>
      <c r="R18" s="7">
        <f t="shared" ca="1" si="1"/>
        <v>0.57831325301204817</v>
      </c>
      <c r="S18" s="7">
        <f t="shared" ca="1" si="2"/>
        <v>0.42168674698795183</v>
      </c>
    </row>
    <row r="19" spans="1:19" x14ac:dyDescent="0.15">
      <c r="A19" s="60"/>
      <c r="B19" s="21" t="s">
        <v>22</v>
      </c>
      <c r="C19" s="21">
        <f>[62]PARS_syn_stat!B19</f>
        <v>93</v>
      </c>
      <c r="D19" s="21">
        <f>[62]PARS_syn_stat!C19</f>
        <v>58</v>
      </c>
      <c r="E19" s="22">
        <f t="shared" ref="E19:F19" si="13">C19/(C18+C19)</f>
        <v>0.45145631067961167</v>
      </c>
      <c r="F19" s="22">
        <f t="shared" si="13"/>
        <v>0.29896907216494845</v>
      </c>
      <c r="I19" s="60"/>
      <c r="J19" s="21" t="s">
        <v>22</v>
      </c>
      <c r="K19" s="22">
        <f t="shared" si="0"/>
        <v>0.45145631067961167</v>
      </c>
      <c r="L19" s="22">
        <f t="shared" si="0"/>
        <v>0.29896907216494845</v>
      </c>
      <c r="O19" s="21">
        <v>17</v>
      </c>
      <c r="P19" s="7">
        <f t="shared" ca="1" si="5"/>
        <v>0.51282051282051277</v>
      </c>
      <c r="Q19" s="7">
        <f t="shared" ca="1" si="3"/>
        <v>0.48717948717948717</v>
      </c>
      <c r="R19" s="7">
        <f t="shared" ca="1" si="1"/>
        <v>0.703125</v>
      </c>
      <c r="S19" s="7">
        <f t="shared" ca="1" si="2"/>
        <v>0.296875</v>
      </c>
    </row>
    <row r="20" spans="1:19" x14ac:dyDescent="0.15">
      <c r="A20" s="60">
        <v>10</v>
      </c>
      <c r="B20" s="21" t="s">
        <v>21</v>
      </c>
      <c r="C20" s="21">
        <f>[62]PARS_syn_stat!B20</f>
        <v>84</v>
      </c>
      <c r="D20" s="21">
        <f>[62]PARS_syn_stat!C20</f>
        <v>112</v>
      </c>
      <c r="E20" s="22">
        <f t="shared" ref="E20:F20" si="14">C20/(C20+C21)</f>
        <v>0.51851851851851849</v>
      </c>
      <c r="F20" s="22">
        <f t="shared" si="14"/>
        <v>0.71794871794871795</v>
      </c>
      <c r="I20" s="60">
        <v>10</v>
      </c>
      <c r="J20" s="21" t="s">
        <v>21</v>
      </c>
      <c r="K20" s="22">
        <f t="shared" si="0"/>
        <v>0.51851851851851849</v>
      </c>
      <c r="L20" s="22">
        <f t="shared" si="0"/>
        <v>0.71794871794871795</v>
      </c>
      <c r="O20" s="21">
        <v>18</v>
      </c>
      <c r="P20" s="7">
        <f t="shared" ca="1" si="5"/>
        <v>0.56060606060606055</v>
      </c>
      <c r="Q20" s="7">
        <f t="shared" ca="1" si="3"/>
        <v>0.43939393939393939</v>
      </c>
      <c r="R20" s="7">
        <f t="shared" ca="1" si="1"/>
        <v>0.6875</v>
      </c>
      <c r="S20" s="7">
        <f t="shared" ca="1" si="2"/>
        <v>0.3125</v>
      </c>
    </row>
    <row r="21" spans="1:19" x14ac:dyDescent="0.15">
      <c r="A21" s="60"/>
      <c r="B21" s="21" t="s">
        <v>22</v>
      </c>
      <c r="C21" s="21">
        <f>[62]PARS_syn_stat!B21</f>
        <v>78</v>
      </c>
      <c r="D21" s="21">
        <f>[62]PARS_syn_stat!C21</f>
        <v>44</v>
      </c>
      <c r="E21" s="22">
        <f t="shared" ref="E21:F21" si="15">C21/(C20+C21)</f>
        <v>0.48148148148148145</v>
      </c>
      <c r="F21" s="22">
        <f t="shared" si="15"/>
        <v>0.28205128205128205</v>
      </c>
      <c r="I21" s="60"/>
      <c r="J21" s="21" t="s">
        <v>22</v>
      </c>
      <c r="K21" s="22">
        <f t="shared" si="0"/>
        <v>0.48148148148148145</v>
      </c>
      <c r="L21" s="22">
        <f t="shared" si="0"/>
        <v>0.28205128205128205</v>
      </c>
      <c r="O21" s="21">
        <v>19</v>
      </c>
      <c r="P21" s="7">
        <f t="shared" ca="1" si="5"/>
        <v>0.625</v>
      </c>
      <c r="Q21" s="7">
        <f t="shared" ca="1" si="3"/>
        <v>0.375</v>
      </c>
      <c r="R21" s="7">
        <f t="shared" ca="1" si="1"/>
        <v>0.69444444444444442</v>
      </c>
      <c r="S21" s="7">
        <f t="shared" ca="1" si="2"/>
        <v>0.30555555555555558</v>
      </c>
    </row>
    <row r="22" spans="1:19" x14ac:dyDescent="0.15">
      <c r="A22" s="60">
        <v>11</v>
      </c>
      <c r="B22" s="21" t="s">
        <v>21</v>
      </c>
      <c r="C22" s="21">
        <f>[62]PARS_syn_stat!B22</f>
        <v>68</v>
      </c>
      <c r="D22" s="21">
        <f>[62]PARS_syn_stat!C22</f>
        <v>69</v>
      </c>
      <c r="E22" s="22">
        <f t="shared" ref="E22:F22" si="16">C22/(C22+C23)</f>
        <v>0.56198347107438018</v>
      </c>
      <c r="F22" s="22">
        <f t="shared" si="16"/>
        <v>0.59482758620689657</v>
      </c>
      <c r="I22" s="60">
        <v>11</v>
      </c>
      <c r="J22" s="21" t="s">
        <v>21</v>
      </c>
      <c r="K22" s="22">
        <f t="shared" si="0"/>
        <v>0.56198347107438018</v>
      </c>
      <c r="L22" s="22">
        <f t="shared" si="0"/>
        <v>0.59482758620689657</v>
      </c>
      <c r="O22" s="21">
        <v>20</v>
      </c>
      <c r="P22" s="7">
        <f t="shared" ca="1" si="5"/>
        <v>0.53968253968253965</v>
      </c>
      <c r="Q22" s="7">
        <f t="shared" ca="1" si="3"/>
        <v>0.46031746031746029</v>
      </c>
      <c r="R22" s="7">
        <f t="shared" ca="1" si="1"/>
        <v>0.62</v>
      </c>
      <c r="S22" s="7">
        <f t="shared" ca="1" si="2"/>
        <v>0.38</v>
      </c>
    </row>
    <row r="23" spans="1:19" x14ac:dyDescent="0.15">
      <c r="A23" s="60"/>
      <c r="B23" s="21" t="s">
        <v>22</v>
      </c>
      <c r="C23" s="21">
        <f>[62]PARS_syn_stat!B23</f>
        <v>53</v>
      </c>
      <c r="D23" s="21">
        <f>[62]PARS_syn_stat!C23</f>
        <v>47</v>
      </c>
      <c r="E23" s="22">
        <f t="shared" ref="E23:F23" si="17">C23/(C22+C23)</f>
        <v>0.43801652892561982</v>
      </c>
      <c r="F23" s="22">
        <f t="shared" si="17"/>
        <v>0.40517241379310343</v>
      </c>
      <c r="I23" s="60"/>
      <c r="J23" s="21" t="s">
        <v>22</v>
      </c>
      <c r="K23" s="22">
        <f t="shared" si="0"/>
        <v>0.43801652892561982</v>
      </c>
      <c r="L23" s="22">
        <f t="shared" si="0"/>
        <v>0.40517241379310343</v>
      </c>
      <c r="O23" s="21">
        <v>21</v>
      </c>
      <c r="P23" s="7">
        <f t="shared" ca="1" si="5"/>
        <v>0.47692307692307695</v>
      </c>
      <c r="Q23" s="7">
        <f t="shared" ca="1" si="3"/>
        <v>0.52307692307692311</v>
      </c>
      <c r="R23" s="7">
        <f t="shared" ca="1" si="1"/>
        <v>0.52</v>
      </c>
      <c r="S23" s="7">
        <f t="shared" ca="1" si="2"/>
        <v>0.48</v>
      </c>
    </row>
    <row r="24" spans="1:19" x14ac:dyDescent="0.15">
      <c r="A24" s="60">
        <v>12</v>
      </c>
      <c r="B24" s="21" t="s">
        <v>21</v>
      </c>
      <c r="C24" s="21">
        <f>[62]PARS_syn_stat!B24</f>
        <v>58</v>
      </c>
      <c r="D24" s="21">
        <f>[62]PARS_syn_stat!C24</f>
        <v>58</v>
      </c>
      <c r="E24" s="22">
        <f t="shared" ref="E24:F24" si="18">C24/(C24+C25)</f>
        <v>0.57999999999999996</v>
      </c>
      <c r="F24" s="22">
        <f t="shared" si="18"/>
        <v>0.66666666666666663</v>
      </c>
      <c r="I24" s="60">
        <v>12</v>
      </c>
      <c r="J24" s="21" t="s">
        <v>21</v>
      </c>
      <c r="K24" s="22">
        <f t="shared" si="0"/>
        <v>0.57999999999999996</v>
      </c>
      <c r="L24" s="22">
        <f t="shared" si="0"/>
        <v>0.66666666666666663</v>
      </c>
      <c r="O24" s="21">
        <v>22</v>
      </c>
      <c r="P24" s="7">
        <f t="shared" ca="1" si="5"/>
        <v>0.64150943396226412</v>
      </c>
      <c r="Q24" s="7">
        <f t="shared" ca="1" si="3"/>
        <v>0.35849056603773582</v>
      </c>
      <c r="R24" s="7">
        <f t="shared" ca="1" si="1"/>
        <v>0.5625</v>
      </c>
      <c r="S24" s="7">
        <f t="shared" ca="1" si="2"/>
        <v>0.4375</v>
      </c>
    </row>
    <row r="25" spans="1:19" x14ac:dyDescent="0.15">
      <c r="A25" s="60"/>
      <c r="B25" s="21" t="s">
        <v>22</v>
      </c>
      <c r="C25" s="21">
        <f>[62]PARS_syn_stat!B25</f>
        <v>42</v>
      </c>
      <c r="D25" s="21">
        <f>[62]PARS_syn_stat!C25</f>
        <v>29</v>
      </c>
      <c r="E25" s="22">
        <f t="shared" ref="E25:F25" si="19">C25/(C24+C25)</f>
        <v>0.42</v>
      </c>
      <c r="F25" s="22">
        <f t="shared" si="19"/>
        <v>0.33333333333333331</v>
      </c>
      <c r="I25" s="60"/>
      <c r="J25" s="21" t="s">
        <v>22</v>
      </c>
      <c r="K25" s="22">
        <f t="shared" si="0"/>
        <v>0.42</v>
      </c>
      <c r="L25" s="22">
        <f t="shared" si="0"/>
        <v>0.33333333333333331</v>
      </c>
      <c r="O25" s="21">
        <v>23</v>
      </c>
      <c r="P25" s="7">
        <f t="shared" ca="1" si="5"/>
        <v>0.53030303030303028</v>
      </c>
      <c r="Q25" s="7">
        <f t="shared" ca="1" si="3"/>
        <v>0.46969696969696972</v>
      </c>
      <c r="R25" s="7">
        <f t="shared" ca="1" si="1"/>
        <v>0.73170731707317072</v>
      </c>
      <c r="S25" s="7">
        <f t="shared" ca="1" si="2"/>
        <v>0.26829268292682928</v>
      </c>
    </row>
    <row r="26" spans="1:19" x14ac:dyDescent="0.15">
      <c r="A26" s="60">
        <v>13</v>
      </c>
      <c r="B26" s="21" t="s">
        <v>21</v>
      </c>
      <c r="C26" s="21">
        <f>[62]PARS_syn_stat!B26</f>
        <v>65</v>
      </c>
      <c r="D26" s="21">
        <f>[62]PARS_syn_stat!C26</f>
        <v>61</v>
      </c>
      <c r="E26" s="22">
        <f t="shared" ref="E26:F26" si="20">C26/(C26+C27)</f>
        <v>0.60185185185185186</v>
      </c>
      <c r="F26" s="22">
        <f t="shared" si="20"/>
        <v>0.65591397849462363</v>
      </c>
      <c r="I26" s="60">
        <v>13</v>
      </c>
      <c r="J26" s="21" t="s">
        <v>21</v>
      </c>
      <c r="K26" s="22">
        <f t="shared" si="0"/>
        <v>0.60185185185185186</v>
      </c>
      <c r="L26" s="22">
        <f t="shared" si="0"/>
        <v>0.65591397849462363</v>
      </c>
      <c r="O26" s="21">
        <v>24</v>
      </c>
      <c r="P26" s="7">
        <f t="shared" ca="1" si="5"/>
        <v>0.5357142857142857</v>
      </c>
      <c r="Q26" s="7">
        <f t="shared" ca="1" si="3"/>
        <v>0.4642857142857143</v>
      </c>
      <c r="R26" s="7">
        <f t="shared" ca="1" si="1"/>
        <v>0.63461538461538458</v>
      </c>
      <c r="S26" s="7">
        <f t="shared" ca="1" si="2"/>
        <v>0.36538461538461536</v>
      </c>
    </row>
    <row r="27" spans="1:19" x14ac:dyDescent="0.15">
      <c r="A27" s="60"/>
      <c r="B27" s="21" t="s">
        <v>22</v>
      </c>
      <c r="C27" s="21">
        <f>[62]PARS_syn_stat!B27</f>
        <v>43</v>
      </c>
      <c r="D27" s="21">
        <f>[62]PARS_syn_stat!C27</f>
        <v>32</v>
      </c>
      <c r="E27" s="22">
        <f t="shared" ref="E27:F27" si="21">C27/(C26+C27)</f>
        <v>0.39814814814814814</v>
      </c>
      <c r="F27" s="22">
        <f t="shared" si="21"/>
        <v>0.34408602150537637</v>
      </c>
      <c r="I27" s="60"/>
      <c r="J27" s="21" t="s">
        <v>22</v>
      </c>
      <c r="K27" s="22">
        <f t="shared" si="0"/>
        <v>0.39814814814814814</v>
      </c>
      <c r="L27" s="22">
        <f t="shared" si="0"/>
        <v>0.34408602150537637</v>
      </c>
      <c r="O27" s="21">
        <v>25</v>
      </c>
      <c r="P27" s="7">
        <f t="shared" ca="1" si="5"/>
        <v>0.57377049180327866</v>
      </c>
      <c r="Q27" s="7">
        <f t="shared" ca="1" si="3"/>
        <v>0.42622950819672129</v>
      </c>
      <c r="R27" s="7">
        <f t="shared" ca="1" si="1"/>
        <v>0.65306122448979587</v>
      </c>
      <c r="S27" s="7">
        <f t="shared" ca="1" si="2"/>
        <v>0.34693877551020408</v>
      </c>
    </row>
    <row r="28" spans="1:19" x14ac:dyDescent="0.15">
      <c r="A28" s="60">
        <v>14</v>
      </c>
      <c r="B28" s="21" t="s">
        <v>21</v>
      </c>
      <c r="C28" s="21">
        <f>[62]PARS_syn_stat!B28</f>
        <v>49</v>
      </c>
      <c r="D28" s="21">
        <f>[62]PARS_syn_stat!C28</f>
        <v>51</v>
      </c>
      <c r="E28" s="22">
        <f t="shared" ref="E28:F28" si="22">C28/(C28+C29)</f>
        <v>0.49</v>
      </c>
      <c r="F28" s="22">
        <f t="shared" si="22"/>
        <v>0.59302325581395354</v>
      </c>
      <c r="I28" s="60">
        <v>14</v>
      </c>
      <c r="J28" s="21" t="s">
        <v>21</v>
      </c>
      <c r="K28" s="22">
        <f t="shared" si="0"/>
        <v>0.49</v>
      </c>
      <c r="L28" s="22">
        <f t="shared" si="0"/>
        <v>0.59302325581395354</v>
      </c>
      <c r="O28" s="21">
        <v>26</v>
      </c>
      <c r="P28" s="7">
        <f t="shared" ca="1" si="5"/>
        <v>0.58823529411764708</v>
      </c>
      <c r="Q28" s="7">
        <f t="shared" ca="1" si="3"/>
        <v>0.41176470588235292</v>
      </c>
      <c r="R28" s="7">
        <f t="shared" ca="1" si="1"/>
        <v>0.63934426229508201</v>
      </c>
      <c r="S28" s="7">
        <f t="shared" ca="1" si="2"/>
        <v>0.36065573770491804</v>
      </c>
    </row>
    <row r="29" spans="1:19" x14ac:dyDescent="0.15">
      <c r="A29" s="60"/>
      <c r="B29" s="21" t="s">
        <v>22</v>
      </c>
      <c r="C29" s="21">
        <f>[62]PARS_syn_stat!B29</f>
        <v>51</v>
      </c>
      <c r="D29" s="21">
        <f>[62]PARS_syn_stat!C29</f>
        <v>35</v>
      </c>
      <c r="E29" s="22">
        <f t="shared" ref="E29:F29" si="23">C29/(C28+C29)</f>
        <v>0.51</v>
      </c>
      <c r="F29" s="22">
        <f t="shared" si="23"/>
        <v>0.40697674418604651</v>
      </c>
      <c r="I29" s="60"/>
      <c r="J29" s="21" t="s">
        <v>22</v>
      </c>
      <c r="K29" s="22">
        <f t="shared" si="0"/>
        <v>0.51</v>
      </c>
      <c r="L29" s="22">
        <f t="shared" si="0"/>
        <v>0.40697674418604651</v>
      </c>
      <c r="O29" s="21">
        <v>27</v>
      </c>
      <c r="P29" s="7">
        <f t="shared" ca="1" si="5"/>
        <v>0.61403508771929827</v>
      </c>
      <c r="Q29" s="7">
        <f t="shared" ca="1" si="3"/>
        <v>0.38596491228070173</v>
      </c>
      <c r="R29" s="7">
        <f t="shared" ca="1" si="1"/>
        <v>0.60869565217391308</v>
      </c>
      <c r="S29" s="7">
        <f t="shared" ca="1" si="2"/>
        <v>0.39130434782608697</v>
      </c>
    </row>
    <row r="30" spans="1:19" x14ac:dyDescent="0.15">
      <c r="A30" s="60">
        <v>15</v>
      </c>
      <c r="B30" s="21" t="s">
        <v>21</v>
      </c>
      <c r="C30" s="21">
        <f>[62]PARS_syn_stat!B30</f>
        <v>48</v>
      </c>
      <c r="D30" s="21">
        <f>[62]PARS_syn_stat!C30</f>
        <v>44</v>
      </c>
      <c r="E30" s="22">
        <f t="shared" ref="E30:F30" si="24">C30/(C30+C31)</f>
        <v>0.54545454545454541</v>
      </c>
      <c r="F30" s="22">
        <f t="shared" si="24"/>
        <v>0.55000000000000004</v>
      </c>
      <c r="I30" s="60">
        <v>15</v>
      </c>
      <c r="J30" s="21" t="s">
        <v>21</v>
      </c>
      <c r="K30" s="22">
        <f t="shared" si="0"/>
        <v>0.54545454545454541</v>
      </c>
      <c r="L30" s="22">
        <f t="shared" si="0"/>
        <v>0.55000000000000004</v>
      </c>
      <c r="O30" s="21">
        <v>28</v>
      </c>
      <c r="P30" s="7">
        <f t="shared" ca="1" si="5"/>
        <v>0.53448275862068961</v>
      </c>
      <c r="Q30" s="7">
        <f t="shared" ca="1" si="3"/>
        <v>0.46551724137931033</v>
      </c>
      <c r="R30" s="7">
        <f t="shared" ca="1" si="1"/>
        <v>0.63829787234042556</v>
      </c>
      <c r="S30" s="7">
        <f t="shared" ca="1" si="2"/>
        <v>0.36170212765957449</v>
      </c>
    </row>
    <row r="31" spans="1:19" x14ac:dyDescent="0.15">
      <c r="A31" s="60"/>
      <c r="B31" s="21" t="s">
        <v>22</v>
      </c>
      <c r="C31" s="21">
        <f>[62]PARS_syn_stat!B31</f>
        <v>40</v>
      </c>
      <c r="D31" s="21">
        <f>[62]PARS_syn_stat!C31</f>
        <v>36</v>
      </c>
      <c r="E31" s="22">
        <f t="shared" ref="E31:F31" si="25">C31/(C30+C31)</f>
        <v>0.45454545454545453</v>
      </c>
      <c r="F31" s="22">
        <f t="shared" si="25"/>
        <v>0.45</v>
      </c>
      <c r="I31" s="60"/>
      <c r="J31" s="21" t="s">
        <v>22</v>
      </c>
      <c r="K31" s="22">
        <f t="shared" si="0"/>
        <v>0.45454545454545453</v>
      </c>
      <c r="L31" s="22">
        <f t="shared" si="0"/>
        <v>0.45</v>
      </c>
      <c r="O31" s="21">
        <v>29</v>
      </c>
      <c r="P31" s="7">
        <f t="shared" ca="1" si="5"/>
        <v>0.5</v>
      </c>
      <c r="Q31" s="7">
        <f t="shared" ca="1" si="3"/>
        <v>0.5</v>
      </c>
      <c r="R31" s="7">
        <f t="shared" ca="1" si="1"/>
        <v>0.6428571428571429</v>
      </c>
      <c r="S31" s="7">
        <f t="shared" ca="1" si="2"/>
        <v>0.35714285714285715</v>
      </c>
    </row>
    <row r="32" spans="1:19" x14ac:dyDescent="0.15">
      <c r="A32" s="60">
        <v>16</v>
      </c>
      <c r="B32" s="21" t="s">
        <v>21</v>
      </c>
      <c r="C32" s="21">
        <f>[62]PARS_syn_stat!B32</f>
        <v>51</v>
      </c>
      <c r="D32" s="21">
        <f>[62]PARS_syn_stat!C32</f>
        <v>48</v>
      </c>
      <c r="E32" s="22">
        <f t="shared" ref="E32:F32" si="26">C32/(C32+C33)</f>
        <v>0.67105263157894735</v>
      </c>
      <c r="F32" s="22">
        <f t="shared" si="26"/>
        <v>0.57831325301204817</v>
      </c>
      <c r="I32" s="60">
        <v>16</v>
      </c>
      <c r="J32" s="21" t="s">
        <v>21</v>
      </c>
      <c r="K32" s="22">
        <f t="shared" si="0"/>
        <v>0.67105263157894735</v>
      </c>
      <c r="L32" s="22">
        <f t="shared" si="0"/>
        <v>0.57831325301204817</v>
      </c>
      <c r="O32" s="21">
        <v>30</v>
      </c>
      <c r="P32" s="7">
        <f t="shared" ca="1" si="5"/>
        <v>0.63076923076923075</v>
      </c>
      <c r="Q32" s="7">
        <f t="shared" ca="1" si="3"/>
        <v>0.36923076923076925</v>
      </c>
      <c r="R32" s="7">
        <f t="shared" ca="1" si="1"/>
        <v>0.59523809523809523</v>
      </c>
      <c r="S32" s="7">
        <f t="shared" ca="1" si="2"/>
        <v>0.40476190476190477</v>
      </c>
    </row>
    <row r="33" spans="1:19" x14ac:dyDescent="0.15">
      <c r="A33" s="60"/>
      <c r="B33" s="21" t="s">
        <v>22</v>
      </c>
      <c r="C33" s="21">
        <f>[62]PARS_syn_stat!B33</f>
        <v>25</v>
      </c>
      <c r="D33" s="21">
        <f>[62]PARS_syn_stat!C33</f>
        <v>35</v>
      </c>
      <c r="E33" s="22">
        <f t="shared" ref="E33:F33" si="27">C33/(C32+C33)</f>
        <v>0.32894736842105265</v>
      </c>
      <c r="F33" s="22">
        <f t="shared" si="27"/>
        <v>0.42168674698795183</v>
      </c>
      <c r="I33" s="60"/>
      <c r="J33" s="21" t="s">
        <v>22</v>
      </c>
      <c r="K33" s="22">
        <f t="shared" si="0"/>
        <v>0.32894736842105265</v>
      </c>
      <c r="L33" s="22">
        <f t="shared" si="0"/>
        <v>0.42168674698795183</v>
      </c>
      <c r="O33" s="21">
        <v>31</v>
      </c>
      <c r="P33" s="7">
        <f t="shared" ca="1" si="5"/>
        <v>0.66666666666666663</v>
      </c>
      <c r="Q33" s="7">
        <f t="shared" ca="1" si="3"/>
        <v>0.33333333333333331</v>
      </c>
      <c r="R33" s="7">
        <f t="shared" ca="1" si="1"/>
        <v>0.61363636363636365</v>
      </c>
      <c r="S33" s="7">
        <f t="shared" ca="1" si="2"/>
        <v>0.38636363636363635</v>
      </c>
    </row>
    <row r="34" spans="1:19" x14ac:dyDescent="0.15">
      <c r="A34" s="60">
        <v>17</v>
      </c>
      <c r="B34" s="21" t="s">
        <v>21</v>
      </c>
      <c r="C34" s="21">
        <f>[62]PARS_syn_stat!B34</f>
        <v>40</v>
      </c>
      <c r="D34" s="21">
        <f>[62]PARS_syn_stat!C34</f>
        <v>45</v>
      </c>
      <c r="E34" s="22">
        <f t="shared" ref="E34:F34" si="28">C34/(C34+C35)</f>
        <v>0.51282051282051277</v>
      </c>
      <c r="F34" s="22">
        <f t="shared" si="28"/>
        <v>0.703125</v>
      </c>
      <c r="I34" s="60">
        <v>17</v>
      </c>
      <c r="J34" s="21" t="s">
        <v>21</v>
      </c>
      <c r="K34" s="22">
        <f t="shared" si="0"/>
        <v>0.51282051282051277</v>
      </c>
      <c r="L34" s="22">
        <f t="shared" si="0"/>
        <v>0.703125</v>
      </c>
      <c r="O34" s="21">
        <v>32</v>
      </c>
      <c r="P34" s="7">
        <f t="shared" ca="1" si="5"/>
        <v>0.57692307692307687</v>
      </c>
      <c r="Q34" s="7">
        <f t="shared" ca="1" si="3"/>
        <v>0.42307692307692307</v>
      </c>
      <c r="R34" s="7">
        <f t="shared" ca="1" si="1"/>
        <v>0.63888888888888884</v>
      </c>
      <c r="S34" s="7">
        <f t="shared" ca="1" si="2"/>
        <v>0.3611111111111111</v>
      </c>
    </row>
    <row r="35" spans="1:19" x14ac:dyDescent="0.15">
      <c r="A35" s="60"/>
      <c r="B35" s="21" t="s">
        <v>22</v>
      </c>
      <c r="C35" s="21">
        <f>[62]PARS_syn_stat!B35</f>
        <v>38</v>
      </c>
      <c r="D35" s="21">
        <f>[62]PARS_syn_stat!C35</f>
        <v>19</v>
      </c>
      <c r="E35" s="22">
        <f t="shared" ref="E35:F35" si="29">C35/(C34+C35)</f>
        <v>0.48717948717948717</v>
      </c>
      <c r="F35" s="22">
        <f t="shared" si="29"/>
        <v>0.296875</v>
      </c>
      <c r="I35" s="60"/>
      <c r="J35" s="21" t="s">
        <v>22</v>
      </c>
      <c r="K35" s="22">
        <f t="shared" si="0"/>
        <v>0.48717948717948717</v>
      </c>
      <c r="L35" s="22">
        <f t="shared" si="0"/>
        <v>0.296875</v>
      </c>
      <c r="O35" s="21">
        <v>33</v>
      </c>
      <c r="P35" s="7">
        <f t="shared" ca="1" si="5"/>
        <v>0.61224489795918369</v>
      </c>
      <c r="Q35" s="7">
        <f t="shared" ca="1" si="3"/>
        <v>0.38775510204081631</v>
      </c>
      <c r="R35" s="7">
        <f t="shared" ca="1" si="1"/>
        <v>0.625</v>
      </c>
      <c r="S35" s="7">
        <f t="shared" ca="1" si="2"/>
        <v>0.375</v>
      </c>
    </row>
    <row r="36" spans="1:19" x14ac:dyDescent="0.15">
      <c r="A36" s="60">
        <v>18</v>
      </c>
      <c r="B36" s="21" t="s">
        <v>21</v>
      </c>
      <c r="C36" s="21">
        <f>[62]PARS_syn_stat!B36</f>
        <v>37</v>
      </c>
      <c r="D36" s="21">
        <f>[62]PARS_syn_stat!C36</f>
        <v>33</v>
      </c>
      <c r="E36" s="22">
        <f t="shared" ref="E36:F36" si="30">C36/(C36+C37)</f>
        <v>0.56060606060606055</v>
      </c>
      <c r="F36" s="22">
        <f t="shared" si="30"/>
        <v>0.6875</v>
      </c>
      <c r="I36" s="60">
        <v>18</v>
      </c>
      <c r="J36" s="21" t="s">
        <v>21</v>
      </c>
      <c r="K36" s="22">
        <f t="shared" si="0"/>
        <v>0.56060606060606055</v>
      </c>
      <c r="L36" s="22">
        <f t="shared" si="0"/>
        <v>0.6875</v>
      </c>
      <c r="O36" s="21">
        <v>34</v>
      </c>
      <c r="P36" s="7">
        <f t="shared" ca="1" si="5"/>
        <v>0.51428571428571423</v>
      </c>
      <c r="Q36" s="7">
        <f t="shared" ca="1" si="3"/>
        <v>0.48571428571428571</v>
      </c>
      <c r="R36" s="7">
        <f t="shared" ca="1" si="1"/>
        <v>0.56756756756756754</v>
      </c>
      <c r="S36" s="7">
        <f t="shared" ca="1" si="2"/>
        <v>0.43243243243243246</v>
      </c>
    </row>
    <row r="37" spans="1:19" x14ac:dyDescent="0.15">
      <c r="A37" s="60"/>
      <c r="B37" s="21" t="s">
        <v>22</v>
      </c>
      <c r="C37" s="21">
        <f>[62]PARS_syn_stat!B37</f>
        <v>29</v>
      </c>
      <c r="D37" s="21">
        <f>[62]PARS_syn_stat!C37</f>
        <v>15</v>
      </c>
      <c r="E37" s="22">
        <f t="shared" ref="E37:F37" si="31">C37/(C36+C37)</f>
        <v>0.43939393939393939</v>
      </c>
      <c r="F37" s="22">
        <f t="shared" si="31"/>
        <v>0.3125</v>
      </c>
      <c r="I37" s="60"/>
      <c r="J37" s="21" t="s">
        <v>22</v>
      </c>
      <c r="K37" s="22">
        <f t="shared" si="0"/>
        <v>0.43939393939393939</v>
      </c>
      <c r="L37" s="22">
        <f t="shared" si="0"/>
        <v>0.3125</v>
      </c>
      <c r="O37" s="21">
        <v>35</v>
      </c>
      <c r="P37" s="7">
        <f t="shared" ca="1" si="5"/>
        <v>0.5</v>
      </c>
      <c r="Q37" s="7">
        <f t="shared" ca="1" si="3"/>
        <v>0.5</v>
      </c>
      <c r="R37" s="7">
        <f t="shared" ca="1" si="1"/>
        <v>0.53125</v>
      </c>
      <c r="S37" s="7">
        <f t="shared" ca="1" si="2"/>
        <v>0.46875</v>
      </c>
    </row>
    <row r="38" spans="1:19" x14ac:dyDescent="0.15">
      <c r="A38" s="60">
        <v>19</v>
      </c>
      <c r="B38" s="21" t="s">
        <v>21</v>
      </c>
      <c r="C38" s="21">
        <f>[62]PARS_syn_stat!B38</f>
        <v>45</v>
      </c>
      <c r="D38" s="21">
        <f>[62]PARS_syn_stat!C38</f>
        <v>50</v>
      </c>
      <c r="E38" s="22">
        <f t="shared" ref="E38:F38" si="32">C38/(C38+C39)</f>
        <v>0.625</v>
      </c>
      <c r="F38" s="22">
        <f t="shared" si="32"/>
        <v>0.69444444444444442</v>
      </c>
      <c r="I38" s="60">
        <v>19</v>
      </c>
      <c r="J38" s="21" t="s">
        <v>21</v>
      </c>
      <c r="K38" s="22">
        <f t="shared" si="0"/>
        <v>0.625</v>
      </c>
      <c r="L38" s="22">
        <f t="shared" si="0"/>
        <v>0.69444444444444442</v>
      </c>
      <c r="O38" s="21">
        <v>36</v>
      </c>
      <c r="P38" s="7">
        <f t="shared" ca="1" si="5"/>
        <v>0.5</v>
      </c>
      <c r="Q38" s="7">
        <f t="shared" ca="1" si="3"/>
        <v>0.5</v>
      </c>
      <c r="R38" s="7">
        <f t="shared" ca="1" si="1"/>
        <v>0.78787878787878785</v>
      </c>
      <c r="S38" s="7">
        <f t="shared" ca="1" si="2"/>
        <v>0.21212121212121213</v>
      </c>
    </row>
    <row r="39" spans="1:19" x14ac:dyDescent="0.15">
      <c r="A39" s="60"/>
      <c r="B39" s="21" t="s">
        <v>22</v>
      </c>
      <c r="C39" s="21">
        <f>[62]PARS_syn_stat!B39</f>
        <v>27</v>
      </c>
      <c r="D39" s="21">
        <f>[62]PARS_syn_stat!C39</f>
        <v>22</v>
      </c>
      <c r="E39" s="22">
        <f t="shared" ref="E39:F39" si="33">C39/(C38+C39)</f>
        <v>0.375</v>
      </c>
      <c r="F39" s="22">
        <f t="shared" si="33"/>
        <v>0.30555555555555558</v>
      </c>
      <c r="I39" s="60"/>
      <c r="J39" s="21" t="s">
        <v>22</v>
      </c>
      <c r="K39" s="22">
        <f t="shared" si="0"/>
        <v>0.375</v>
      </c>
      <c r="L39" s="22">
        <f t="shared" si="0"/>
        <v>0.30555555555555558</v>
      </c>
      <c r="O39" s="21">
        <v>37</v>
      </c>
      <c r="P39" s="7">
        <f t="shared" ca="1" si="5"/>
        <v>0.53846153846153844</v>
      </c>
      <c r="Q39" s="7">
        <f t="shared" ca="1" si="3"/>
        <v>0.46153846153846156</v>
      </c>
      <c r="R39" s="7">
        <f t="shared" ca="1" si="1"/>
        <v>0.58333333333333337</v>
      </c>
      <c r="S39" s="7">
        <f t="shared" ca="1" si="2"/>
        <v>0.41666666666666669</v>
      </c>
    </row>
    <row r="40" spans="1:19" x14ac:dyDescent="0.15">
      <c r="A40" s="60">
        <v>20</v>
      </c>
      <c r="B40" s="21" t="s">
        <v>21</v>
      </c>
      <c r="C40" s="21">
        <f>[62]PARS_syn_stat!B40</f>
        <v>34</v>
      </c>
      <c r="D40" s="21">
        <f>[62]PARS_syn_stat!C40</f>
        <v>31</v>
      </c>
      <c r="E40" s="22">
        <f t="shared" ref="E40:F40" si="34">C40/(C40+C41)</f>
        <v>0.53968253968253965</v>
      </c>
      <c r="F40" s="22">
        <f t="shared" si="34"/>
        <v>0.62</v>
      </c>
      <c r="I40" s="60">
        <v>20</v>
      </c>
      <c r="J40" s="21" t="s">
        <v>21</v>
      </c>
      <c r="K40" s="22">
        <f t="shared" si="0"/>
        <v>0.53968253968253965</v>
      </c>
      <c r="L40" s="22">
        <f t="shared" si="0"/>
        <v>0.62</v>
      </c>
      <c r="O40" s="21">
        <v>38</v>
      </c>
      <c r="P40" s="7">
        <f t="shared" ca="1" si="5"/>
        <v>0.49019607843137253</v>
      </c>
      <c r="Q40" s="7">
        <f t="shared" ca="1" si="3"/>
        <v>0.50980392156862742</v>
      </c>
      <c r="R40" s="7">
        <f t="shared" ca="1" si="1"/>
        <v>0.52777777777777779</v>
      </c>
      <c r="S40" s="7">
        <f t="shared" ca="1" si="2"/>
        <v>0.47222222222222221</v>
      </c>
    </row>
    <row r="41" spans="1:19" x14ac:dyDescent="0.15">
      <c r="A41" s="60"/>
      <c r="B41" s="21" t="s">
        <v>22</v>
      </c>
      <c r="C41" s="21">
        <f>[62]PARS_syn_stat!B41</f>
        <v>29</v>
      </c>
      <c r="D41" s="21">
        <f>[62]PARS_syn_stat!C41</f>
        <v>19</v>
      </c>
      <c r="E41" s="22">
        <f t="shared" ref="E41:F41" si="35">C41/(C40+C41)</f>
        <v>0.46031746031746029</v>
      </c>
      <c r="F41" s="22">
        <f t="shared" si="35"/>
        <v>0.38</v>
      </c>
      <c r="I41" s="60"/>
      <c r="J41" s="21" t="s">
        <v>22</v>
      </c>
      <c r="K41" s="22">
        <f t="shared" si="0"/>
        <v>0.46031746031746029</v>
      </c>
      <c r="L41" s="22">
        <f t="shared" si="0"/>
        <v>0.38</v>
      </c>
      <c r="O41" s="21">
        <v>39</v>
      </c>
      <c r="P41" s="7">
        <f t="shared" ca="1" si="5"/>
        <v>0.61538461538461542</v>
      </c>
      <c r="Q41" s="7">
        <f t="shared" ca="1" si="3"/>
        <v>0.38461538461538464</v>
      </c>
      <c r="R41" s="7">
        <f t="shared" ca="1" si="1"/>
        <v>0.6</v>
      </c>
      <c r="S41" s="7">
        <f t="shared" ca="1" si="2"/>
        <v>0.4</v>
      </c>
    </row>
    <row r="42" spans="1:19" x14ac:dyDescent="0.15">
      <c r="A42" s="60">
        <v>21</v>
      </c>
      <c r="B42" s="21" t="s">
        <v>21</v>
      </c>
      <c r="C42" s="21">
        <f>[62]PARS_syn_stat!B42</f>
        <v>31</v>
      </c>
      <c r="D42" s="21">
        <f>[62]PARS_syn_stat!C42</f>
        <v>26</v>
      </c>
      <c r="E42" s="22">
        <f t="shared" ref="E42:F42" si="36">C42/(C42+C43)</f>
        <v>0.47692307692307695</v>
      </c>
      <c r="F42" s="22">
        <f t="shared" si="36"/>
        <v>0.52</v>
      </c>
      <c r="I42" s="60">
        <v>21</v>
      </c>
      <c r="J42" s="21" t="s">
        <v>21</v>
      </c>
      <c r="K42" s="22">
        <f t="shared" si="0"/>
        <v>0.47692307692307695</v>
      </c>
      <c r="L42" s="22">
        <f t="shared" si="0"/>
        <v>0.52</v>
      </c>
      <c r="O42" s="21">
        <v>40</v>
      </c>
      <c r="P42" s="7">
        <f t="shared" ca="1" si="5"/>
        <v>0.47619047619047616</v>
      </c>
      <c r="Q42" s="7">
        <f t="shared" ca="1" si="3"/>
        <v>0.52380952380952384</v>
      </c>
      <c r="R42" s="7">
        <f t="shared" ca="1" si="1"/>
        <v>0.59375</v>
      </c>
      <c r="S42" s="7">
        <f t="shared" ca="1" si="2"/>
        <v>0.40625</v>
      </c>
    </row>
    <row r="43" spans="1:19" x14ac:dyDescent="0.15">
      <c r="A43" s="60"/>
      <c r="B43" s="21" t="s">
        <v>22</v>
      </c>
      <c r="C43" s="21">
        <f>[62]PARS_syn_stat!B43</f>
        <v>34</v>
      </c>
      <c r="D43" s="21">
        <f>[62]PARS_syn_stat!C43</f>
        <v>24</v>
      </c>
      <c r="E43" s="22">
        <f t="shared" ref="E43:F43" si="37">C43/(C42+C43)</f>
        <v>0.52307692307692311</v>
      </c>
      <c r="F43" s="22">
        <f t="shared" si="37"/>
        <v>0.48</v>
      </c>
      <c r="I43" s="60"/>
      <c r="J43" s="21" t="s">
        <v>22</v>
      </c>
      <c r="K43" s="22">
        <f t="shared" si="0"/>
        <v>0.52307692307692311</v>
      </c>
      <c r="L43" s="22">
        <f t="shared" si="0"/>
        <v>0.48</v>
      </c>
      <c r="O43" s="21">
        <v>41</v>
      </c>
      <c r="P43" s="7">
        <f t="shared" ca="1" si="5"/>
        <v>0.61224489795918369</v>
      </c>
      <c r="Q43" s="7">
        <f t="shared" ca="1" si="3"/>
        <v>0.38775510204081631</v>
      </c>
      <c r="R43" s="7">
        <f t="shared" ca="1" si="1"/>
        <v>0.53125</v>
      </c>
      <c r="S43" s="7">
        <f t="shared" ca="1" si="2"/>
        <v>0.46875</v>
      </c>
    </row>
    <row r="44" spans="1:19" x14ac:dyDescent="0.15">
      <c r="A44" s="60">
        <v>22</v>
      </c>
      <c r="B44" s="21" t="s">
        <v>21</v>
      </c>
      <c r="C44" s="21">
        <f>[62]PARS_syn_stat!B44</f>
        <v>34</v>
      </c>
      <c r="D44" s="21">
        <f>[62]PARS_syn_stat!C44</f>
        <v>27</v>
      </c>
      <c r="E44" s="22">
        <f t="shared" ref="E44:F44" si="38">C44/(C44+C45)</f>
        <v>0.64150943396226412</v>
      </c>
      <c r="F44" s="22">
        <f t="shared" si="38"/>
        <v>0.5625</v>
      </c>
      <c r="I44" s="60">
        <v>22</v>
      </c>
      <c r="J44" s="21" t="s">
        <v>21</v>
      </c>
      <c r="K44" s="22">
        <f t="shared" si="0"/>
        <v>0.64150943396226412</v>
      </c>
      <c r="L44" s="22">
        <f t="shared" si="0"/>
        <v>0.5625</v>
      </c>
      <c r="O44" s="21">
        <v>42</v>
      </c>
      <c r="P44" s="7">
        <f t="shared" ca="1" si="5"/>
        <v>0.66666666666666663</v>
      </c>
      <c r="Q44" s="7">
        <f t="shared" ca="1" si="3"/>
        <v>0.33333333333333331</v>
      </c>
      <c r="R44" s="7">
        <f t="shared" ca="1" si="1"/>
        <v>0.57894736842105265</v>
      </c>
      <c r="S44" s="7">
        <f t="shared" ca="1" si="2"/>
        <v>0.42105263157894735</v>
      </c>
    </row>
    <row r="45" spans="1:19" x14ac:dyDescent="0.15">
      <c r="A45" s="60"/>
      <c r="B45" s="21" t="s">
        <v>22</v>
      </c>
      <c r="C45" s="21">
        <f>[62]PARS_syn_stat!B45</f>
        <v>19</v>
      </c>
      <c r="D45" s="21">
        <f>[62]PARS_syn_stat!C45</f>
        <v>21</v>
      </c>
      <c r="E45" s="22">
        <f t="shared" ref="E45:F45" si="39">C45/(C44+C45)</f>
        <v>0.35849056603773582</v>
      </c>
      <c r="F45" s="22">
        <f t="shared" si="39"/>
        <v>0.4375</v>
      </c>
      <c r="I45" s="60"/>
      <c r="J45" s="21" t="s">
        <v>22</v>
      </c>
      <c r="K45" s="22">
        <f t="shared" si="0"/>
        <v>0.35849056603773582</v>
      </c>
      <c r="L45" s="22">
        <f t="shared" si="0"/>
        <v>0.4375</v>
      </c>
      <c r="O45" s="21">
        <v>43</v>
      </c>
      <c r="P45" s="7">
        <f t="shared" ca="1" si="5"/>
        <v>0.62790697674418605</v>
      </c>
      <c r="Q45" s="7">
        <f t="shared" ca="1" si="3"/>
        <v>0.37209302325581395</v>
      </c>
      <c r="R45" s="7">
        <f t="shared" ca="1" si="1"/>
        <v>0.64864864864864868</v>
      </c>
      <c r="S45" s="7">
        <f t="shared" ca="1" si="2"/>
        <v>0.35135135135135137</v>
      </c>
    </row>
    <row r="46" spans="1:19" x14ac:dyDescent="0.15">
      <c r="A46" s="60">
        <v>23</v>
      </c>
      <c r="B46" s="21" t="s">
        <v>21</v>
      </c>
      <c r="C46" s="21">
        <f>[62]PARS_syn_stat!B46</f>
        <v>35</v>
      </c>
      <c r="D46" s="21">
        <f>[62]PARS_syn_stat!C46</f>
        <v>30</v>
      </c>
      <c r="E46" s="22">
        <f t="shared" ref="E46:F46" si="40">C46/(C46+C47)</f>
        <v>0.53030303030303028</v>
      </c>
      <c r="F46" s="22">
        <f t="shared" si="40"/>
        <v>0.73170731707317072</v>
      </c>
      <c r="I46" s="60">
        <v>23</v>
      </c>
      <c r="J46" s="21" t="s">
        <v>21</v>
      </c>
      <c r="K46" s="22">
        <f t="shared" si="0"/>
        <v>0.53030303030303028</v>
      </c>
      <c r="L46" s="22">
        <f t="shared" si="0"/>
        <v>0.73170731707317072</v>
      </c>
      <c r="O46" s="21">
        <v>44</v>
      </c>
      <c r="P46" s="7">
        <f t="shared" ca="1" si="5"/>
        <v>0.67567567567567566</v>
      </c>
      <c r="Q46" s="7">
        <f t="shared" ca="1" si="3"/>
        <v>0.32432432432432434</v>
      </c>
      <c r="R46" s="7">
        <f t="shared" ca="1" si="1"/>
        <v>0.70270270270270274</v>
      </c>
      <c r="S46" s="7">
        <f t="shared" ca="1" si="2"/>
        <v>0.29729729729729731</v>
      </c>
    </row>
    <row r="47" spans="1:19" x14ac:dyDescent="0.15">
      <c r="A47" s="60"/>
      <c r="B47" s="21" t="s">
        <v>22</v>
      </c>
      <c r="C47" s="21">
        <f>[62]PARS_syn_stat!B47</f>
        <v>31</v>
      </c>
      <c r="D47" s="21">
        <f>[62]PARS_syn_stat!C47</f>
        <v>11</v>
      </c>
      <c r="E47" s="22">
        <f t="shared" ref="E47:F47" si="41">C47/(C46+C47)</f>
        <v>0.46969696969696972</v>
      </c>
      <c r="F47" s="22">
        <f t="shared" si="41"/>
        <v>0.26829268292682928</v>
      </c>
      <c r="I47" s="60"/>
      <c r="J47" s="21" t="s">
        <v>22</v>
      </c>
      <c r="K47" s="22">
        <f t="shared" si="0"/>
        <v>0.46969696969696972</v>
      </c>
      <c r="L47" s="22">
        <f t="shared" si="0"/>
        <v>0.26829268292682928</v>
      </c>
      <c r="O47" s="21">
        <v>45</v>
      </c>
      <c r="P47" s="7">
        <f t="shared" ca="1" si="5"/>
        <v>0.66666666666666663</v>
      </c>
      <c r="Q47" s="7">
        <f t="shared" ca="1" si="3"/>
        <v>0.33333333333333331</v>
      </c>
      <c r="R47" s="7">
        <f t="shared" ca="1" si="1"/>
        <v>0.51428571428571423</v>
      </c>
      <c r="S47" s="7">
        <f t="shared" ca="1" si="2"/>
        <v>0.48571428571428571</v>
      </c>
    </row>
    <row r="48" spans="1:19" x14ac:dyDescent="0.15">
      <c r="A48" s="60">
        <v>24</v>
      </c>
      <c r="B48" s="21" t="s">
        <v>21</v>
      </c>
      <c r="C48" s="21">
        <f>[62]PARS_syn_stat!B48</f>
        <v>30</v>
      </c>
      <c r="D48" s="21">
        <f>[62]PARS_syn_stat!C48</f>
        <v>33</v>
      </c>
      <c r="E48" s="22">
        <f t="shared" ref="E48:F48" si="42">C48/(C48+C49)</f>
        <v>0.5357142857142857</v>
      </c>
      <c r="F48" s="22">
        <f t="shared" si="42"/>
        <v>0.63461538461538458</v>
      </c>
      <c r="I48" s="60">
        <v>24</v>
      </c>
      <c r="J48" s="21" t="s">
        <v>21</v>
      </c>
      <c r="K48" s="22">
        <f t="shared" si="0"/>
        <v>0.5357142857142857</v>
      </c>
      <c r="L48" s="22">
        <f t="shared" si="0"/>
        <v>0.63461538461538458</v>
      </c>
      <c r="O48" s="21">
        <v>46</v>
      </c>
      <c r="P48" s="7">
        <f t="shared" ca="1" si="5"/>
        <v>0.47619047619047616</v>
      </c>
      <c r="Q48" s="7">
        <f t="shared" ca="1" si="3"/>
        <v>0.52380952380952384</v>
      </c>
      <c r="R48" s="7">
        <f t="shared" ca="1" si="1"/>
        <v>0.66666666666666663</v>
      </c>
      <c r="S48" s="7">
        <f t="shared" ca="1" si="2"/>
        <v>0.33333333333333331</v>
      </c>
    </row>
    <row r="49" spans="1:19" x14ac:dyDescent="0.15">
      <c r="A49" s="60"/>
      <c r="B49" s="21" t="s">
        <v>22</v>
      </c>
      <c r="C49" s="21">
        <f>[62]PARS_syn_stat!B49</f>
        <v>26</v>
      </c>
      <c r="D49" s="21">
        <f>[62]PARS_syn_stat!C49</f>
        <v>19</v>
      </c>
      <c r="E49" s="22">
        <f t="shared" ref="E49:F49" si="43">C49/(C48+C49)</f>
        <v>0.4642857142857143</v>
      </c>
      <c r="F49" s="22">
        <f t="shared" si="43"/>
        <v>0.36538461538461536</v>
      </c>
      <c r="I49" s="60"/>
      <c r="J49" s="21" t="s">
        <v>22</v>
      </c>
      <c r="K49" s="22">
        <f t="shared" si="0"/>
        <v>0.4642857142857143</v>
      </c>
      <c r="L49" s="22">
        <f t="shared" si="0"/>
        <v>0.36538461538461536</v>
      </c>
      <c r="O49" s="21">
        <v>47</v>
      </c>
      <c r="P49" s="7">
        <f t="shared" ca="1" si="5"/>
        <v>0.63636363636363635</v>
      </c>
      <c r="Q49" s="7">
        <f t="shared" ca="1" si="3"/>
        <v>0.36363636363636365</v>
      </c>
      <c r="R49" s="7">
        <f t="shared" ca="1" si="1"/>
        <v>0.48148148148148145</v>
      </c>
      <c r="S49" s="7">
        <f t="shared" ca="1" si="2"/>
        <v>0.51851851851851849</v>
      </c>
    </row>
    <row r="50" spans="1:19" x14ac:dyDescent="0.15">
      <c r="A50" s="60">
        <v>25</v>
      </c>
      <c r="B50" s="21" t="s">
        <v>21</v>
      </c>
      <c r="C50" s="21">
        <f>[62]PARS_syn_stat!B50</f>
        <v>35</v>
      </c>
      <c r="D50" s="21">
        <f>[62]PARS_syn_stat!C50</f>
        <v>32</v>
      </c>
      <c r="E50" s="22">
        <f t="shared" ref="E50:F50" si="44">C50/(C50+C51)</f>
        <v>0.57377049180327866</v>
      </c>
      <c r="F50" s="22">
        <f t="shared" si="44"/>
        <v>0.65306122448979587</v>
      </c>
      <c r="I50" s="60">
        <v>25</v>
      </c>
      <c r="J50" s="21" t="s">
        <v>21</v>
      </c>
      <c r="K50" s="22">
        <f t="shared" si="0"/>
        <v>0.57377049180327866</v>
      </c>
      <c r="L50" s="22">
        <f t="shared" si="0"/>
        <v>0.65306122448979587</v>
      </c>
      <c r="O50" s="21">
        <v>48</v>
      </c>
      <c r="P50" s="7">
        <f t="shared" ca="1" si="5"/>
        <v>0.52272727272727271</v>
      </c>
      <c r="Q50" s="7">
        <f t="shared" ca="1" si="3"/>
        <v>0.47727272727272729</v>
      </c>
      <c r="R50" s="7">
        <f t="shared" ca="1" si="1"/>
        <v>0.66666666666666663</v>
      </c>
      <c r="S50" s="7">
        <f t="shared" ca="1" si="2"/>
        <v>0.33333333333333331</v>
      </c>
    </row>
    <row r="51" spans="1:19" x14ac:dyDescent="0.15">
      <c r="A51" s="60"/>
      <c r="B51" s="21" t="s">
        <v>22</v>
      </c>
      <c r="C51" s="21">
        <f>[62]PARS_syn_stat!B51</f>
        <v>26</v>
      </c>
      <c r="D51" s="21">
        <f>[62]PARS_syn_stat!C51</f>
        <v>17</v>
      </c>
      <c r="E51" s="22">
        <f t="shared" ref="E51:F51" si="45">C51/(C50+C51)</f>
        <v>0.42622950819672129</v>
      </c>
      <c r="F51" s="22">
        <f t="shared" si="45"/>
        <v>0.34693877551020408</v>
      </c>
      <c r="I51" s="60"/>
      <c r="J51" s="21" t="s">
        <v>22</v>
      </c>
      <c r="K51" s="22">
        <f t="shared" si="0"/>
        <v>0.42622950819672129</v>
      </c>
      <c r="L51" s="22">
        <f t="shared" si="0"/>
        <v>0.34693877551020408</v>
      </c>
      <c r="O51" s="21">
        <v>49</v>
      </c>
      <c r="P51" s="7">
        <f t="shared" ca="1" si="5"/>
        <v>0.47368421052631576</v>
      </c>
      <c r="Q51" s="7">
        <f t="shared" ca="1" si="3"/>
        <v>0.52631578947368418</v>
      </c>
      <c r="R51" s="7">
        <f t="shared" ca="1" si="1"/>
        <v>0.59375</v>
      </c>
      <c r="S51" s="7">
        <f t="shared" ca="1" si="2"/>
        <v>0.40625</v>
      </c>
    </row>
    <row r="52" spans="1:19" x14ac:dyDescent="0.15">
      <c r="A52" s="60">
        <v>26</v>
      </c>
      <c r="B52" s="21" t="s">
        <v>21</v>
      </c>
      <c r="C52" s="21">
        <f>[62]PARS_syn_stat!B52</f>
        <v>30</v>
      </c>
      <c r="D52" s="21">
        <f>[62]PARS_syn_stat!C52</f>
        <v>39</v>
      </c>
      <c r="E52" s="22">
        <f t="shared" ref="E52:F52" si="46">C52/(C52+C53)</f>
        <v>0.58823529411764708</v>
      </c>
      <c r="F52" s="22">
        <f t="shared" si="46"/>
        <v>0.63934426229508201</v>
      </c>
      <c r="I52" s="60">
        <v>26</v>
      </c>
      <c r="J52" s="21" t="s">
        <v>21</v>
      </c>
      <c r="K52" s="22">
        <f t="shared" si="0"/>
        <v>0.58823529411764708</v>
      </c>
      <c r="L52" s="22">
        <f t="shared" si="0"/>
        <v>0.63934426229508201</v>
      </c>
      <c r="O52" s="21">
        <v>50</v>
      </c>
      <c r="P52" s="7">
        <f t="shared" ca="1" si="5"/>
        <v>0.44230769230769229</v>
      </c>
      <c r="Q52" s="7">
        <f t="shared" ca="1" si="3"/>
        <v>0.55769230769230771</v>
      </c>
      <c r="R52" s="7">
        <f t="shared" ca="1" si="1"/>
        <v>0.58333333333333337</v>
      </c>
      <c r="S52" s="7">
        <f t="shared" ca="1" si="2"/>
        <v>0.41666666666666669</v>
      </c>
    </row>
    <row r="53" spans="1:19" x14ac:dyDescent="0.15">
      <c r="A53" s="60"/>
      <c r="B53" s="21" t="s">
        <v>22</v>
      </c>
      <c r="C53" s="21">
        <f>[62]PARS_syn_stat!B53</f>
        <v>21</v>
      </c>
      <c r="D53" s="21">
        <f>[62]PARS_syn_stat!C53</f>
        <v>22</v>
      </c>
      <c r="E53" s="22">
        <f t="shared" ref="E53:F53" si="47">C53/(C52+C53)</f>
        <v>0.41176470588235292</v>
      </c>
      <c r="F53" s="22">
        <f t="shared" si="47"/>
        <v>0.36065573770491804</v>
      </c>
      <c r="I53" s="60"/>
      <c r="J53" s="21" t="s">
        <v>22</v>
      </c>
      <c r="K53" s="22">
        <f t="shared" si="0"/>
        <v>0.41176470588235292</v>
      </c>
      <c r="L53" s="22">
        <f t="shared" si="0"/>
        <v>0.36065573770491804</v>
      </c>
      <c r="O53" s="21">
        <v>51</v>
      </c>
      <c r="P53" s="7">
        <f t="shared" ca="1" si="5"/>
        <v>0.63888888888888884</v>
      </c>
      <c r="Q53" s="7">
        <f t="shared" ca="1" si="3"/>
        <v>0.3611111111111111</v>
      </c>
      <c r="R53" s="7">
        <f t="shared" ca="1" si="1"/>
        <v>0.5</v>
      </c>
      <c r="S53" s="7">
        <f t="shared" ca="1" si="2"/>
        <v>0.5</v>
      </c>
    </row>
    <row r="54" spans="1:19" x14ac:dyDescent="0.15">
      <c r="A54" s="60">
        <v>27</v>
      </c>
      <c r="B54" s="21" t="s">
        <v>21</v>
      </c>
      <c r="C54" s="21">
        <f>[62]PARS_syn_stat!B54</f>
        <v>35</v>
      </c>
      <c r="D54" s="21">
        <f>[62]PARS_syn_stat!C54</f>
        <v>28</v>
      </c>
      <c r="E54" s="22">
        <f t="shared" ref="E54:F54" si="48">C54/(C54+C55)</f>
        <v>0.61403508771929827</v>
      </c>
      <c r="F54" s="22">
        <f t="shared" si="48"/>
        <v>0.60869565217391308</v>
      </c>
      <c r="I54" s="60">
        <v>27</v>
      </c>
      <c r="J54" s="21" t="s">
        <v>21</v>
      </c>
      <c r="K54" s="22">
        <f t="shared" si="0"/>
        <v>0.61403508771929827</v>
      </c>
      <c r="L54" s="22">
        <f t="shared" si="0"/>
        <v>0.60869565217391308</v>
      </c>
      <c r="O54" s="21">
        <v>52</v>
      </c>
      <c r="P54" s="7">
        <f t="shared" ca="1" si="5"/>
        <v>0.5714285714285714</v>
      </c>
      <c r="Q54" s="7">
        <f t="shared" ca="1" si="3"/>
        <v>0.42857142857142855</v>
      </c>
      <c r="R54" s="7">
        <f t="shared" ca="1" si="1"/>
        <v>0.61538461538461542</v>
      </c>
      <c r="S54" s="7">
        <f t="shared" ca="1" si="2"/>
        <v>0.38461538461538464</v>
      </c>
    </row>
    <row r="55" spans="1:19" x14ac:dyDescent="0.15">
      <c r="A55" s="60"/>
      <c r="B55" s="21" t="s">
        <v>22</v>
      </c>
      <c r="C55" s="21">
        <f>[62]PARS_syn_stat!B55</f>
        <v>22</v>
      </c>
      <c r="D55" s="21">
        <f>[62]PARS_syn_stat!C55</f>
        <v>18</v>
      </c>
      <c r="E55" s="22">
        <f t="shared" ref="E55:F55" si="49">C55/(C54+C55)</f>
        <v>0.38596491228070173</v>
      </c>
      <c r="F55" s="22">
        <f t="shared" si="49"/>
        <v>0.39130434782608697</v>
      </c>
      <c r="I55" s="60"/>
      <c r="J55" s="21" t="s">
        <v>22</v>
      </c>
      <c r="K55" s="22">
        <f t="shared" si="0"/>
        <v>0.38596491228070173</v>
      </c>
      <c r="L55" s="22">
        <f t="shared" si="0"/>
        <v>0.39130434782608697</v>
      </c>
      <c r="O55" s="21">
        <v>53</v>
      </c>
      <c r="P55" s="7">
        <f t="shared" ca="1" si="5"/>
        <v>0.5161290322580645</v>
      </c>
      <c r="Q55" s="7">
        <f t="shared" ca="1" si="3"/>
        <v>0.4838709677419355</v>
      </c>
      <c r="R55" s="7">
        <f t="shared" ca="1" si="1"/>
        <v>0.66666666666666663</v>
      </c>
      <c r="S55" s="7">
        <f t="shared" ca="1" si="2"/>
        <v>0.33333333333333331</v>
      </c>
    </row>
    <row r="56" spans="1:19" x14ac:dyDescent="0.15">
      <c r="A56" s="60">
        <v>28</v>
      </c>
      <c r="B56" s="21" t="s">
        <v>21</v>
      </c>
      <c r="C56" s="21">
        <f>[62]PARS_syn_stat!B56</f>
        <v>31</v>
      </c>
      <c r="D56" s="21">
        <f>[62]PARS_syn_stat!C56</f>
        <v>30</v>
      </c>
      <c r="E56" s="22">
        <f t="shared" ref="E56:F56" si="50">C56/(C56+C57)</f>
        <v>0.53448275862068961</v>
      </c>
      <c r="F56" s="22">
        <f t="shared" si="50"/>
        <v>0.63829787234042556</v>
      </c>
      <c r="I56" s="60">
        <v>28</v>
      </c>
      <c r="J56" s="21" t="s">
        <v>21</v>
      </c>
      <c r="K56" s="22">
        <f t="shared" si="0"/>
        <v>0.53448275862068961</v>
      </c>
      <c r="L56" s="22">
        <f t="shared" si="0"/>
        <v>0.63829787234042556</v>
      </c>
      <c r="O56" s="21">
        <v>54</v>
      </c>
      <c r="P56" s="7">
        <f t="shared" ca="1" si="5"/>
        <v>0.57499999999999996</v>
      </c>
      <c r="Q56" s="7">
        <f t="shared" ca="1" si="3"/>
        <v>0.42499999999999999</v>
      </c>
      <c r="R56" s="7">
        <f t="shared" ca="1" si="1"/>
        <v>0.64516129032258063</v>
      </c>
      <c r="S56" s="7">
        <f t="shared" ca="1" si="2"/>
        <v>0.35483870967741937</v>
      </c>
    </row>
    <row r="57" spans="1:19" x14ac:dyDescent="0.15">
      <c r="A57" s="60"/>
      <c r="B57" s="21" t="s">
        <v>22</v>
      </c>
      <c r="C57" s="21">
        <f>[62]PARS_syn_stat!B57</f>
        <v>27</v>
      </c>
      <c r="D57" s="21">
        <f>[62]PARS_syn_stat!C57</f>
        <v>17</v>
      </c>
      <c r="E57" s="22">
        <f t="shared" ref="E57:F57" si="51">C57/(C56+C57)</f>
        <v>0.46551724137931033</v>
      </c>
      <c r="F57" s="22">
        <f t="shared" si="51"/>
        <v>0.36170212765957449</v>
      </c>
      <c r="I57" s="60"/>
      <c r="J57" s="21" t="s">
        <v>22</v>
      </c>
      <c r="K57" s="22">
        <f t="shared" si="0"/>
        <v>0.46551724137931033</v>
      </c>
      <c r="L57" s="22">
        <f t="shared" si="0"/>
        <v>0.36170212765957449</v>
      </c>
      <c r="O57" s="21">
        <v>55</v>
      </c>
      <c r="P57" s="7">
        <f t="shared" ca="1" si="5"/>
        <v>0.6428571428571429</v>
      </c>
      <c r="Q57" s="7">
        <f t="shared" ca="1" si="3"/>
        <v>0.35714285714285715</v>
      </c>
      <c r="R57" s="7">
        <f t="shared" ca="1" si="1"/>
        <v>0.63888888888888884</v>
      </c>
      <c r="S57" s="7">
        <f t="shared" ca="1" si="2"/>
        <v>0.3611111111111111</v>
      </c>
    </row>
    <row r="58" spans="1:19" x14ac:dyDescent="0.15">
      <c r="A58" s="60">
        <v>29</v>
      </c>
      <c r="B58" s="21" t="s">
        <v>21</v>
      </c>
      <c r="C58" s="21">
        <f>[62]PARS_syn_stat!B58</f>
        <v>28</v>
      </c>
      <c r="D58" s="21">
        <f>[62]PARS_syn_stat!C58</f>
        <v>27</v>
      </c>
      <c r="E58" s="22">
        <f t="shared" ref="E58:F58" si="52">C58/(C58+C59)</f>
        <v>0.5</v>
      </c>
      <c r="F58" s="22">
        <f t="shared" si="52"/>
        <v>0.6428571428571429</v>
      </c>
      <c r="I58" s="60">
        <v>29</v>
      </c>
      <c r="J58" s="21" t="s">
        <v>21</v>
      </c>
      <c r="K58" s="22">
        <f t="shared" si="0"/>
        <v>0.5</v>
      </c>
      <c r="L58" s="22">
        <f t="shared" si="0"/>
        <v>0.6428571428571429</v>
      </c>
      <c r="O58" s="21">
        <v>56</v>
      </c>
      <c r="P58" s="7">
        <f t="shared" ca="1" si="5"/>
        <v>0.6216216216216216</v>
      </c>
      <c r="Q58" s="7">
        <f t="shared" ca="1" si="3"/>
        <v>0.3783783783783784</v>
      </c>
      <c r="R58" s="7">
        <f t="shared" ca="1" si="1"/>
        <v>0.6</v>
      </c>
      <c r="S58" s="7">
        <f t="shared" ca="1" si="2"/>
        <v>0.4</v>
      </c>
    </row>
    <row r="59" spans="1:19" x14ac:dyDescent="0.15">
      <c r="A59" s="60"/>
      <c r="B59" s="21" t="s">
        <v>22</v>
      </c>
      <c r="C59" s="21">
        <f>[62]PARS_syn_stat!B59</f>
        <v>28</v>
      </c>
      <c r="D59" s="21">
        <f>[62]PARS_syn_stat!C59</f>
        <v>15</v>
      </c>
      <c r="E59" s="22">
        <f t="shared" ref="E59:F59" si="53">C59/(C58+C59)</f>
        <v>0.5</v>
      </c>
      <c r="F59" s="22">
        <f t="shared" si="53"/>
        <v>0.35714285714285715</v>
      </c>
      <c r="I59" s="60"/>
      <c r="J59" s="21" t="s">
        <v>22</v>
      </c>
      <c r="K59" s="22">
        <f t="shared" si="0"/>
        <v>0.5</v>
      </c>
      <c r="L59" s="22">
        <f t="shared" si="0"/>
        <v>0.35714285714285715</v>
      </c>
      <c r="O59" s="21">
        <v>57</v>
      </c>
      <c r="P59" s="7">
        <f t="shared" ca="1" si="5"/>
        <v>0.63636363636363635</v>
      </c>
      <c r="Q59" s="7">
        <f t="shared" ca="1" si="3"/>
        <v>0.36363636363636365</v>
      </c>
      <c r="R59" s="7">
        <f t="shared" ca="1" si="1"/>
        <v>0.52</v>
      </c>
      <c r="S59" s="7">
        <f t="shared" ca="1" si="2"/>
        <v>0.48</v>
      </c>
    </row>
    <row r="60" spans="1:19" x14ac:dyDescent="0.15">
      <c r="A60" s="60">
        <v>30</v>
      </c>
      <c r="B60" s="21" t="s">
        <v>21</v>
      </c>
      <c r="C60" s="21">
        <f>[62]PARS_syn_stat!B60</f>
        <v>41</v>
      </c>
      <c r="D60" s="21">
        <f>[62]PARS_syn_stat!C60</f>
        <v>25</v>
      </c>
      <c r="E60" s="22">
        <f t="shared" ref="E60:F60" si="54">C60/(C60+C61)</f>
        <v>0.63076923076923075</v>
      </c>
      <c r="F60" s="22">
        <f t="shared" si="54"/>
        <v>0.59523809523809523</v>
      </c>
      <c r="I60" s="60">
        <v>30</v>
      </c>
      <c r="J60" s="21" t="s">
        <v>21</v>
      </c>
      <c r="K60" s="22">
        <f t="shared" si="0"/>
        <v>0.63076923076923075</v>
      </c>
      <c r="L60" s="22">
        <f t="shared" si="0"/>
        <v>0.59523809523809523</v>
      </c>
      <c r="O60" s="21">
        <v>58</v>
      </c>
      <c r="P60" s="7">
        <f t="shared" ca="1" si="5"/>
        <v>0.59523809523809523</v>
      </c>
      <c r="Q60" s="7">
        <f t="shared" ca="1" si="3"/>
        <v>0.40476190476190477</v>
      </c>
      <c r="R60" s="7">
        <f t="shared" ca="1" si="1"/>
        <v>0.52173913043478259</v>
      </c>
      <c r="S60" s="7">
        <f t="shared" ca="1" si="2"/>
        <v>0.47826086956521741</v>
      </c>
    </row>
    <row r="61" spans="1:19" x14ac:dyDescent="0.15">
      <c r="A61" s="60"/>
      <c r="B61" s="21" t="s">
        <v>22</v>
      </c>
      <c r="C61" s="21">
        <f>[62]PARS_syn_stat!B61</f>
        <v>24</v>
      </c>
      <c r="D61" s="21">
        <f>[62]PARS_syn_stat!C61</f>
        <v>17</v>
      </c>
      <c r="E61" s="22">
        <f t="shared" ref="E61:F61" si="55">C61/(C60+C61)</f>
        <v>0.36923076923076925</v>
      </c>
      <c r="F61" s="22">
        <f t="shared" si="55"/>
        <v>0.40476190476190477</v>
      </c>
      <c r="I61" s="60"/>
      <c r="J61" s="21" t="s">
        <v>22</v>
      </c>
      <c r="K61" s="22">
        <f t="shared" si="0"/>
        <v>0.36923076923076925</v>
      </c>
      <c r="L61" s="22">
        <f t="shared" si="0"/>
        <v>0.40476190476190477</v>
      </c>
      <c r="O61" s="21">
        <v>59</v>
      </c>
      <c r="P61" s="7">
        <f t="shared" ca="1" si="5"/>
        <v>0.58823529411764708</v>
      </c>
      <c r="Q61" s="7">
        <f t="shared" ca="1" si="3"/>
        <v>0.41176470588235292</v>
      </c>
      <c r="R61" s="7">
        <f t="shared" ca="1" si="1"/>
        <v>0.61538461538461542</v>
      </c>
      <c r="S61" s="7">
        <f t="shared" ca="1" si="2"/>
        <v>0.38461538461538464</v>
      </c>
    </row>
    <row r="62" spans="1:19" x14ac:dyDescent="0.15">
      <c r="A62" s="60">
        <v>31</v>
      </c>
      <c r="B62" s="21" t="s">
        <v>21</v>
      </c>
      <c r="C62" s="21">
        <f>[62]PARS_syn_stat!B62</f>
        <v>40</v>
      </c>
      <c r="D62" s="21">
        <f>[62]PARS_syn_stat!C62</f>
        <v>27</v>
      </c>
      <c r="E62" s="22">
        <f t="shared" ref="E62:F62" si="56">C62/(C62+C63)</f>
        <v>0.66666666666666663</v>
      </c>
      <c r="F62" s="22">
        <f t="shared" si="56"/>
        <v>0.61363636363636365</v>
      </c>
      <c r="I62" s="60">
        <v>31</v>
      </c>
      <c r="J62" s="21" t="s">
        <v>21</v>
      </c>
      <c r="K62" s="22">
        <f t="shared" si="0"/>
        <v>0.66666666666666663</v>
      </c>
      <c r="L62" s="22">
        <f t="shared" si="0"/>
        <v>0.61363636363636365</v>
      </c>
      <c r="O62" s="21">
        <v>60</v>
      </c>
      <c r="P62" s="7">
        <f t="shared" ca="1" si="5"/>
        <v>0.65625</v>
      </c>
      <c r="Q62" s="7">
        <f t="shared" ca="1" si="3"/>
        <v>0.34375</v>
      </c>
      <c r="R62" s="7">
        <f t="shared" ca="1" si="1"/>
        <v>0.56666666666666665</v>
      </c>
      <c r="S62" s="7">
        <f t="shared" ca="1" si="2"/>
        <v>0.43333333333333335</v>
      </c>
    </row>
    <row r="63" spans="1:19" x14ac:dyDescent="0.15">
      <c r="A63" s="60"/>
      <c r="B63" s="21" t="s">
        <v>22</v>
      </c>
      <c r="C63" s="21">
        <f>[62]PARS_syn_stat!B63</f>
        <v>20</v>
      </c>
      <c r="D63" s="21">
        <f>[62]PARS_syn_stat!C63</f>
        <v>17</v>
      </c>
      <c r="E63" s="22">
        <f t="shared" ref="E63:F63" si="57">C63/(C62+C63)</f>
        <v>0.33333333333333331</v>
      </c>
      <c r="F63" s="22">
        <f t="shared" si="57"/>
        <v>0.38636363636363635</v>
      </c>
      <c r="I63" s="60"/>
      <c r="J63" s="21" t="s">
        <v>22</v>
      </c>
      <c r="K63" s="22">
        <f t="shared" si="0"/>
        <v>0.33333333333333331</v>
      </c>
      <c r="L63" s="22">
        <f t="shared" si="0"/>
        <v>0.38636363636363635</v>
      </c>
      <c r="O63" s="21">
        <v>61</v>
      </c>
      <c r="P63" s="7">
        <f t="shared" ca="1" si="5"/>
        <v>0.4375</v>
      </c>
      <c r="Q63" s="7">
        <f t="shared" ca="1" si="3"/>
        <v>0.5625</v>
      </c>
      <c r="R63" s="7">
        <f t="shared" ca="1" si="1"/>
        <v>0.41666666666666669</v>
      </c>
      <c r="S63" s="7">
        <f t="shared" ca="1" si="2"/>
        <v>0.58333333333333337</v>
      </c>
    </row>
    <row r="64" spans="1:19" x14ac:dyDescent="0.15">
      <c r="A64" s="60">
        <v>32</v>
      </c>
      <c r="B64" s="21" t="s">
        <v>21</v>
      </c>
      <c r="C64" s="21">
        <f>[62]PARS_syn_stat!B64</f>
        <v>30</v>
      </c>
      <c r="D64" s="21">
        <f>[62]PARS_syn_stat!C64</f>
        <v>23</v>
      </c>
      <c r="E64" s="22">
        <f t="shared" ref="E64:F64" si="58">C64/(C64+C65)</f>
        <v>0.57692307692307687</v>
      </c>
      <c r="F64" s="22">
        <f t="shared" si="58"/>
        <v>0.63888888888888884</v>
      </c>
      <c r="I64" s="60">
        <v>32</v>
      </c>
      <c r="J64" s="21" t="s">
        <v>21</v>
      </c>
      <c r="K64" s="22">
        <f t="shared" si="0"/>
        <v>0.57692307692307687</v>
      </c>
      <c r="L64" s="22">
        <f t="shared" si="0"/>
        <v>0.63888888888888884</v>
      </c>
      <c r="O64" s="21">
        <v>62</v>
      </c>
      <c r="P64" s="7">
        <f t="shared" ca="1" si="5"/>
        <v>0.66666666666666663</v>
      </c>
      <c r="Q64" s="7">
        <f t="shared" ca="1" si="3"/>
        <v>0.33333333333333331</v>
      </c>
      <c r="R64" s="7">
        <f t="shared" ca="1" si="1"/>
        <v>0.5357142857142857</v>
      </c>
      <c r="S64" s="7">
        <f t="shared" ca="1" si="2"/>
        <v>0.4642857142857143</v>
      </c>
    </row>
    <row r="65" spans="1:19" x14ac:dyDescent="0.15">
      <c r="A65" s="60"/>
      <c r="B65" s="21" t="s">
        <v>22</v>
      </c>
      <c r="C65" s="21">
        <f>[62]PARS_syn_stat!B65</f>
        <v>22</v>
      </c>
      <c r="D65" s="21">
        <f>[62]PARS_syn_stat!C65</f>
        <v>13</v>
      </c>
      <c r="E65" s="22">
        <f t="shared" ref="E65:F65" si="59">C65/(C64+C65)</f>
        <v>0.42307692307692307</v>
      </c>
      <c r="F65" s="22">
        <f t="shared" si="59"/>
        <v>0.3611111111111111</v>
      </c>
      <c r="I65" s="60"/>
      <c r="J65" s="21" t="s">
        <v>22</v>
      </c>
      <c r="K65" s="22">
        <f t="shared" si="0"/>
        <v>0.42307692307692307</v>
      </c>
      <c r="L65" s="22">
        <f t="shared" si="0"/>
        <v>0.3611111111111111</v>
      </c>
      <c r="O65" s="21">
        <v>63</v>
      </c>
      <c r="P65" s="7">
        <f t="shared" ca="1" si="5"/>
        <v>0.55172413793103448</v>
      </c>
      <c r="Q65" s="7">
        <f t="shared" ca="1" si="3"/>
        <v>0.44827586206896552</v>
      </c>
      <c r="R65" s="7">
        <f t="shared" ca="1" si="1"/>
        <v>0.63636363636363635</v>
      </c>
      <c r="S65" s="7">
        <f t="shared" ca="1" si="2"/>
        <v>0.36363636363636365</v>
      </c>
    </row>
    <row r="66" spans="1:19" x14ac:dyDescent="0.15">
      <c r="A66" s="60">
        <v>33</v>
      </c>
      <c r="B66" s="21" t="s">
        <v>21</v>
      </c>
      <c r="C66" s="21">
        <f>[62]PARS_syn_stat!B66</f>
        <v>30</v>
      </c>
      <c r="D66" s="21">
        <f>[62]PARS_syn_stat!C66</f>
        <v>20</v>
      </c>
      <c r="E66" s="22">
        <f t="shared" ref="E66:F66" si="60">C66/(C66+C67)</f>
        <v>0.61224489795918369</v>
      </c>
      <c r="F66" s="22">
        <f t="shared" si="60"/>
        <v>0.625</v>
      </c>
      <c r="I66" s="60">
        <v>33</v>
      </c>
      <c r="J66" s="21" t="s">
        <v>21</v>
      </c>
      <c r="K66" s="22">
        <f t="shared" ref="K66:L129" si="61">E66</f>
        <v>0.61224489795918369</v>
      </c>
      <c r="L66" s="22">
        <f t="shared" si="61"/>
        <v>0.625</v>
      </c>
      <c r="O66" s="21">
        <v>64</v>
      </c>
      <c r="P66" s="7">
        <f t="shared" ca="1" si="5"/>
        <v>0.76315789473684215</v>
      </c>
      <c r="Q66" s="7">
        <f t="shared" ca="1" si="3"/>
        <v>0.23684210526315788</v>
      </c>
      <c r="R66" s="7">
        <f t="shared" ca="1" si="1"/>
        <v>0.56756756756756754</v>
      </c>
      <c r="S66" s="7">
        <f t="shared" ca="1" si="2"/>
        <v>0.43243243243243246</v>
      </c>
    </row>
    <row r="67" spans="1:19" x14ac:dyDescent="0.15">
      <c r="A67" s="60"/>
      <c r="B67" s="21" t="s">
        <v>22</v>
      </c>
      <c r="C67" s="21">
        <f>[62]PARS_syn_stat!B67</f>
        <v>19</v>
      </c>
      <c r="D67" s="21">
        <f>[62]PARS_syn_stat!C67</f>
        <v>12</v>
      </c>
      <c r="E67" s="22">
        <f t="shared" ref="E67:F67" si="62">C67/(C66+C67)</f>
        <v>0.38775510204081631</v>
      </c>
      <c r="F67" s="22">
        <f t="shared" si="62"/>
        <v>0.375</v>
      </c>
      <c r="I67" s="60"/>
      <c r="J67" s="21" t="s">
        <v>22</v>
      </c>
      <c r="K67" s="22">
        <f t="shared" si="61"/>
        <v>0.38775510204081631</v>
      </c>
      <c r="L67" s="22">
        <f t="shared" si="61"/>
        <v>0.375</v>
      </c>
      <c r="O67" s="21">
        <v>65</v>
      </c>
      <c r="P67" s="7">
        <f t="shared" ca="1" si="5"/>
        <v>0.66666666666666663</v>
      </c>
      <c r="Q67" s="7">
        <f t="shared" ca="1" si="3"/>
        <v>0.33333333333333331</v>
      </c>
      <c r="R67" s="7">
        <f t="shared" ca="1" si="1"/>
        <v>0.6333333333333333</v>
      </c>
      <c r="S67" s="7">
        <f t="shared" ca="1" si="2"/>
        <v>0.36666666666666664</v>
      </c>
    </row>
    <row r="68" spans="1:19" x14ac:dyDescent="0.15">
      <c r="A68" s="60">
        <v>34</v>
      </c>
      <c r="B68" s="21" t="s">
        <v>21</v>
      </c>
      <c r="C68" s="21">
        <f>[62]PARS_syn_stat!B68</f>
        <v>18</v>
      </c>
      <c r="D68" s="21">
        <f>[62]PARS_syn_stat!C68</f>
        <v>21</v>
      </c>
      <c r="E68" s="22">
        <f t="shared" ref="E68:F68" si="63">C68/(C68+C69)</f>
        <v>0.51428571428571423</v>
      </c>
      <c r="F68" s="22">
        <f t="shared" si="63"/>
        <v>0.56756756756756754</v>
      </c>
      <c r="I68" s="60">
        <v>34</v>
      </c>
      <c r="J68" s="21" t="s">
        <v>21</v>
      </c>
      <c r="K68" s="22">
        <f t="shared" si="61"/>
        <v>0.51428571428571423</v>
      </c>
      <c r="L68" s="22">
        <f t="shared" si="61"/>
        <v>0.56756756756756754</v>
      </c>
      <c r="O68" s="21">
        <v>66</v>
      </c>
      <c r="P68" s="7">
        <f t="shared" ca="1" si="5"/>
        <v>0.55882352941176472</v>
      </c>
      <c r="Q68" s="7">
        <f t="shared" ca="1" si="3"/>
        <v>0.44117647058823528</v>
      </c>
      <c r="R68" s="7">
        <f t="shared" ref="R68:R129" ca="1" si="64">INDIRECT("l"&amp;ROW(L66)*2)</f>
        <v>0.38709677419354838</v>
      </c>
      <c r="S68" s="7">
        <f t="shared" ref="S68:S129" ca="1" si="65">INDIRECT("l"&amp;ROW(L66)*2+1)</f>
        <v>0.61290322580645162</v>
      </c>
    </row>
    <row r="69" spans="1:19" x14ac:dyDescent="0.15">
      <c r="A69" s="60"/>
      <c r="B69" s="21" t="s">
        <v>22</v>
      </c>
      <c r="C69" s="21">
        <f>[62]PARS_syn_stat!B69</f>
        <v>17</v>
      </c>
      <c r="D69" s="21">
        <f>[62]PARS_syn_stat!C69</f>
        <v>16</v>
      </c>
      <c r="E69" s="22">
        <f t="shared" ref="E69:F69" si="66">C69/(C68+C69)</f>
        <v>0.48571428571428571</v>
      </c>
      <c r="F69" s="22">
        <f t="shared" si="66"/>
        <v>0.43243243243243246</v>
      </c>
      <c r="I69" s="60"/>
      <c r="J69" s="21" t="s">
        <v>22</v>
      </c>
      <c r="K69" s="22">
        <f t="shared" si="61"/>
        <v>0.48571428571428571</v>
      </c>
      <c r="L69" s="22">
        <f t="shared" si="61"/>
        <v>0.43243243243243246</v>
      </c>
      <c r="O69" s="21">
        <v>67</v>
      </c>
      <c r="P69" s="7">
        <f t="shared" ca="1" si="5"/>
        <v>0.55000000000000004</v>
      </c>
      <c r="Q69" s="7">
        <f t="shared" ref="Q69:Q129" ca="1" si="67">INDIRECT("K"&amp;ROW(J67)*2+1)</f>
        <v>0.45</v>
      </c>
      <c r="R69" s="7">
        <f t="shared" ca="1" si="64"/>
        <v>0.55555555555555558</v>
      </c>
      <c r="S69" s="7">
        <f t="shared" ca="1" si="65"/>
        <v>0.44444444444444442</v>
      </c>
    </row>
    <row r="70" spans="1:19" x14ac:dyDescent="0.15">
      <c r="A70" s="60">
        <v>35</v>
      </c>
      <c r="B70" s="21" t="s">
        <v>21</v>
      </c>
      <c r="C70" s="21">
        <f>[62]PARS_syn_stat!B70</f>
        <v>22</v>
      </c>
      <c r="D70" s="21">
        <f>[62]PARS_syn_stat!C70</f>
        <v>17</v>
      </c>
      <c r="E70" s="22">
        <f t="shared" ref="E70:F70" si="68">C70/(C70+C71)</f>
        <v>0.5</v>
      </c>
      <c r="F70" s="22">
        <f t="shared" si="68"/>
        <v>0.53125</v>
      </c>
      <c r="I70" s="60">
        <v>35</v>
      </c>
      <c r="J70" s="21" t="s">
        <v>21</v>
      </c>
      <c r="K70" s="22">
        <f t="shared" si="61"/>
        <v>0.5</v>
      </c>
      <c r="L70" s="22">
        <f t="shared" si="61"/>
        <v>0.53125</v>
      </c>
      <c r="O70" s="21">
        <v>68</v>
      </c>
      <c r="P70" s="7">
        <f t="shared" ca="1" si="5"/>
        <v>0.5</v>
      </c>
      <c r="Q70" s="7">
        <f t="shared" ca="1" si="67"/>
        <v>0.5</v>
      </c>
      <c r="R70" s="7">
        <f t="shared" ca="1" si="64"/>
        <v>0.47368421052631576</v>
      </c>
      <c r="S70" s="7">
        <f t="shared" ca="1" si="65"/>
        <v>0.52631578947368418</v>
      </c>
    </row>
    <row r="71" spans="1:19" x14ac:dyDescent="0.15">
      <c r="A71" s="60"/>
      <c r="B71" s="21" t="s">
        <v>22</v>
      </c>
      <c r="C71" s="21">
        <f>[62]PARS_syn_stat!B71</f>
        <v>22</v>
      </c>
      <c r="D71" s="21">
        <f>[62]PARS_syn_stat!C71</f>
        <v>15</v>
      </c>
      <c r="E71" s="22">
        <f t="shared" ref="E71:F71" si="69">C71/(C70+C71)</f>
        <v>0.5</v>
      </c>
      <c r="F71" s="22">
        <f t="shared" si="69"/>
        <v>0.46875</v>
      </c>
      <c r="I71" s="60"/>
      <c r="J71" s="21" t="s">
        <v>22</v>
      </c>
      <c r="K71" s="22">
        <f t="shared" si="61"/>
        <v>0.5</v>
      </c>
      <c r="L71" s="22">
        <f t="shared" si="61"/>
        <v>0.46875</v>
      </c>
      <c r="O71" s="21">
        <v>69</v>
      </c>
      <c r="P71" s="7">
        <f t="shared" ca="1" si="5"/>
        <v>0.67567567567567566</v>
      </c>
      <c r="Q71" s="7">
        <f t="shared" ca="1" si="67"/>
        <v>0.32432432432432434</v>
      </c>
      <c r="R71" s="7">
        <f t="shared" ca="1" si="64"/>
        <v>0.63157894736842102</v>
      </c>
      <c r="S71" s="7">
        <f t="shared" ca="1" si="65"/>
        <v>0.36842105263157893</v>
      </c>
    </row>
    <row r="72" spans="1:19" x14ac:dyDescent="0.15">
      <c r="A72" s="60">
        <v>36</v>
      </c>
      <c r="B72" s="21" t="s">
        <v>21</v>
      </c>
      <c r="C72" s="21">
        <f>[62]PARS_syn_stat!B72</f>
        <v>19</v>
      </c>
      <c r="D72" s="21">
        <f>[62]PARS_syn_stat!C72</f>
        <v>26</v>
      </c>
      <c r="E72" s="22">
        <f t="shared" ref="E72:F72" si="70">C72/(C72+C73)</f>
        <v>0.5</v>
      </c>
      <c r="F72" s="22">
        <f t="shared" si="70"/>
        <v>0.78787878787878785</v>
      </c>
      <c r="I72" s="60">
        <v>36</v>
      </c>
      <c r="J72" s="21" t="s">
        <v>21</v>
      </c>
      <c r="K72" s="22">
        <f t="shared" si="61"/>
        <v>0.5</v>
      </c>
      <c r="L72" s="22">
        <f t="shared" si="61"/>
        <v>0.78787878787878785</v>
      </c>
      <c r="O72" s="21">
        <v>70</v>
      </c>
      <c r="P72" s="7">
        <f t="shared" ca="1" si="5"/>
        <v>0.70270270270270274</v>
      </c>
      <c r="Q72" s="7">
        <f t="shared" ca="1" si="67"/>
        <v>0.29729729729729731</v>
      </c>
      <c r="R72" s="7">
        <f t="shared" ca="1" si="64"/>
        <v>0.52</v>
      </c>
      <c r="S72" s="7">
        <f t="shared" ca="1" si="65"/>
        <v>0.48</v>
      </c>
    </row>
    <row r="73" spans="1:19" x14ac:dyDescent="0.15">
      <c r="A73" s="60"/>
      <c r="B73" s="21" t="s">
        <v>22</v>
      </c>
      <c r="C73" s="21">
        <f>[62]PARS_syn_stat!B73</f>
        <v>19</v>
      </c>
      <c r="D73" s="21">
        <f>[62]PARS_syn_stat!C73</f>
        <v>7</v>
      </c>
      <c r="E73" s="22">
        <f t="shared" ref="E73:F73" si="71">C73/(C72+C73)</f>
        <v>0.5</v>
      </c>
      <c r="F73" s="22">
        <f t="shared" si="71"/>
        <v>0.21212121212121213</v>
      </c>
      <c r="I73" s="60"/>
      <c r="J73" s="21" t="s">
        <v>22</v>
      </c>
      <c r="K73" s="22">
        <f t="shared" si="61"/>
        <v>0.5</v>
      </c>
      <c r="L73" s="22">
        <f t="shared" si="61"/>
        <v>0.21212121212121213</v>
      </c>
      <c r="O73" s="21">
        <v>71</v>
      </c>
      <c r="P73" s="7">
        <f t="shared" ca="1" si="5"/>
        <v>0.65625</v>
      </c>
      <c r="Q73" s="7">
        <f t="shared" ca="1" si="67"/>
        <v>0.34375</v>
      </c>
      <c r="R73" s="7">
        <f t="shared" ca="1" si="64"/>
        <v>0.42105263157894735</v>
      </c>
      <c r="S73" s="7">
        <f t="shared" ca="1" si="65"/>
        <v>0.57894736842105265</v>
      </c>
    </row>
    <row r="74" spans="1:19" x14ac:dyDescent="0.15">
      <c r="A74" s="60">
        <v>37</v>
      </c>
      <c r="B74" s="21" t="s">
        <v>21</v>
      </c>
      <c r="C74" s="21">
        <f>[62]PARS_syn_stat!B74</f>
        <v>21</v>
      </c>
      <c r="D74" s="21">
        <f>[62]PARS_syn_stat!C74</f>
        <v>21</v>
      </c>
      <c r="E74" s="22">
        <f t="shared" ref="E74:F74" si="72">C74/(C74+C75)</f>
        <v>0.53846153846153844</v>
      </c>
      <c r="F74" s="22">
        <f t="shared" si="72"/>
        <v>0.58333333333333337</v>
      </c>
      <c r="I74" s="60">
        <v>37</v>
      </c>
      <c r="J74" s="21" t="s">
        <v>21</v>
      </c>
      <c r="K74" s="22">
        <f t="shared" si="61"/>
        <v>0.53846153846153844</v>
      </c>
      <c r="L74" s="22">
        <f t="shared" si="61"/>
        <v>0.58333333333333337</v>
      </c>
      <c r="O74" s="21">
        <v>72</v>
      </c>
      <c r="P74" s="7">
        <f t="shared" ca="1" si="5"/>
        <v>0.75</v>
      </c>
      <c r="Q74" s="7">
        <f t="shared" ca="1" si="67"/>
        <v>0.25</v>
      </c>
      <c r="R74" s="7">
        <f t="shared" ca="1" si="64"/>
        <v>0.5</v>
      </c>
      <c r="S74" s="7">
        <f t="shared" ca="1" si="65"/>
        <v>0.5</v>
      </c>
    </row>
    <row r="75" spans="1:19" x14ac:dyDescent="0.15">
      <c r="A75" s="60"/>
      <c r="B75" s="21" t="s">
        <v>22</v>
      </c>
      <c r="C75" s="21">
        <f>[62]PARS_syn_stat!B75</f>
        <v>18</v>
      </c>
      <c r="D75" s="21">
        <f>[62]PARS_syn_stat!C75</f>
        <v>15</v>
      </c>
      <c r="E75" s="22">
        <f t="shared" ref="E75:F75" si="73">C75/(C74+C75)</f>
        <v>0.46153846153846156</v>
      </c>
      <c r="F75" s="22">
        <f t="shared" si="73"/>
        <v>0.41666666666666669</v>
      </c>
      <c r="I75" s="60"/>
      <c r="J75" s="21" t="s">
        <v>22</v>
      </c>
      <c r="K75" s="22">
        <f t="shared" si="61"/>
        <v>0.46153846153846156</v>
      </c>
      <c r="L75" s="22">
        <f t="shared" si="61"/>
        <v>0.41666666666666669</v>
      </c>
      <c r="O75" s="21">
        <v>73</v>
      </c>
      <c r="P75" s="7">
        <f t="shared" ref="P75:P129" ca="1" si="74">INDIRECT("K"&amp;ROW(K73)*2)</f>
        <v>0.56818181818181823</v>
      </c>
      <c r="Q75" s="7">
        <f t="shared" ca="1" si="67"/>
        <v>0.43181818181818182</v>
      </c>
      <c r="R75" s="7">
        <f t="shared" ca="1" si="64"/>
        <v>0.5161290322580645</v>
      </c>
      <c r="S75" s="7">
        <f t="shared" ca="1" si="65"/>
        <v>0.4838709677419355</v>
      </c>
    </row>
    <row r="76" spans="1:19" x14ac:dyDescent="0.15">
      <c r="A76" s="60">
        <v>38</v>
      </c>
      <c r="B76" s="21" t="s">
        <v>21</v>
      </c>
      <c r="C76" s="21">
        <f>[62]PARS_syn_stat!B76</f>
        <v>25</v>
      </c>
      <c r="D76" s="21">
        <f>[62]PARS_syn_stat!C76</f>
        <v>19</v>
      </c>
      <c r="E76" s="22">
        <f t="shared" ref="E76:F76" si="75">C76/(C76+C77)</f>
        <v>0.49019607843137253</v>
      </c>
      <c r="F76" s="22">
        <f t="shared" si="75"/>
        <v>0.52777777777777779</v>
      </c>
      <c r="I76" s="60">
        <v>38</v>
      </c>
      <c r="J76" s="21" t="s">
        <v>21</v>
      </c>
      <c r="K76" s="22">
        <f t="shared" si="61"/>
        <v>0.49019607843137253</v>
      </c>
      <c r="L76" s="22">
        <f t="shared" si="61"/>
        <v>0.52777777777777779</v>
      </c>
      <c r="O76" s="21">
        <v>74</v>
      </c>
      <c r="P76" s="7">
        <f t="shared" ca="1" si="74"/>
        <v>0.63888888888888884</v>
      </c>
      <c r="Q76" s="7">
        <f t="shared" ca="1" si="67"/>
        <v>0.3611111111111111</v>
      </c>
      <c r="R76" s="7">
        <f t="shared" ca="1" si="64"/>
        <v>0.71875</v>
      </c>
      <c r="S76" s="7">
        <f t="shared" ca="1" si="65"/>
        <v>0.28125</v>
      </c>
    </row>
    <row r="77" spans="1:19" x14ac:dyDescent="0.15">
      <c r="A77" s="60"/>
      <c r="B77" s="21" t="s">
        <v>22</v>
      </c>
      <c r="C77" s="21">
        <f>[62]PARS_syn_stat!B77</f>
        <v>26</v>
      </c>
      <c r="D77" s="21">
        <f>[62]PARS_syn_stat!C77</f>
        <v>17</v>
      </c>
      <c r="E77" s="22">
        <f t="shared" ref="E77:F77" si="76">C77/(C76+C77)</f>
        <v>0.50980392156862742</v>
      </c>
      <c r="F77" s="22">
        <f t="shared" si="76"/>
        <v>0.47222222222222221</v>
      </c>
      <c r="I77" s="60"/>
      <c r="J77" s="21" t="s">
        <v>22</v>
      </c>
      <c r="K77" s="22">
        <f t="shared" si="61"/>
        <v>0.50980392156862742</v>
      </c>
      <c r="L77" s="22">
        <f t="shared" si="61"/>
        <v>0.47222222222222221</v>
      </c>
      <c r="O77" s="21">
        <v>75</v>
      </c>
      <c r="P77" s="7">
        <f t="shared" ca="1" si="74"/>
        <v>0.46153846153846156</v>
      </c>
      <c r="Q77" s="7">
        <f t="shared" ca="1" si="67"/>
        <v>0.53846153846153844</v>
      </c>
      <c r="R77" s="7">
        <f t="shared" ca="1" si="64"/>
        <v>0.64864864864864868</v>
      </c>
      <c r="S77" s="7">
        <f t="shared" ca="1" si="65"/>
        <v>0.35135135135135137</v>
      </c>
    </row>
    <row r="78" spans="1:19" x14ac:dyDescent="0.15">
      <c r="A78" s="60">
        <v>39</v>
      </c>
      <c r="B78" s="21" t="s">
        <v>21</v>
      </c>
      <c r="C78" s="21">
        <f>[62]PARS_syn_stat!B78</f>
        <v>32</v>
      </c>
      <c r="D78" s="21">
        <f>[62]PARS_syn_stat!C78</f>
        <v>24</v>
      </c>
      <c r="E78" s="22">
        <f t="shared" ref="E78:F78" si="77">C78/(C78+C79)</f>
        <v>0.61538461538461542</v>
      </c>
      <c r="F78" s="22">
        <f t="shared" si="77"/>
        <v>0.6</v>
      </c>
      <c r="I78" s="60">
        <v>39</v>
      </c>
      <c r="J78" s="21" t="s">
        <v>21</v>
      </c>
      <c r="K78" s="22">
        <f t="shared" si="61"/>
        <v>0.61538461538461542</v>
      </c>
      <c r="L78" s="22">
        <f t="shared" si="61"/>
        <v>0.6</v>
      </c>
      <c r="O78" s="21">
        <v>76</v>
      </c>
      <c r="P78" s="7">
        <f t="shared" ca="1" si="74"/>
        <v>0.51219512195121952</v>
      </c>
      <c r="Q78" s="7">
        <f t="shared" ca="1" si="67"/>
        <v>0.48780487804878048</v>
      </c>
      <c r="R78" s="7">
        <f t="shared" ca="1" si="64"/>
        <v>0.5714285714285714</v>
      </c>
      <c r="S78" s="7">
        <f t="shared" ca="1" si="65"/>
        <v>0.42857142857142855</v>
      </c>
    </row>
    <row r="79" spans="1:19" x14ac:dyDescent="0.15">
      <c r="A79" s="60"/>
      <c r="B79" s="21" t="s">
        <v>22</v>
      </c>
      <c r="C79" s="21">
        <f>[62]PARS_syn_stat!B79</f>
        <v>20</v>
      </c>
      <c r="D79" s="21">
        <f>[62]PARS_syn_stat!C79</f>
        <v>16</v>
      </c>
      <c r="E79" s="22">
        <f t="shared" ref="E79:F79" si="78">C79/(C78+C79)</f>
        <v>0.38461538461538464</v>
      </c>
      <c r="F79" s="22">
        <f t="shared" si="78"/>
        <v>0.4</v>
      </c>
      <c r="I79" s="60"/>
      <c r="J79" s="21" t="s">
        <v>22</v>
      </c>
      <c r="K79" s="22">
        <f t="shared" si="61"/>
        <v>0.38461538461538464</v>
      </c>
      <c r="L79" s="22">
        <f t="shared" si="61"/>
        <v>0.4</v>
      </c>
      <c r="O79" s="21">
        <v>77</v>
      </c>
      <c r="P79" s="7">
        <f t="shared" ca="1" si="74"/>
        <v>0.6</v>
      </c>
      <c r="Q79" s="7">
        <f t="shared" ca="1" si="67"/>
        <v>0.4</v>
      </c>
      <c r="R79" s="7">
        <f t="shared" ca="1" si="64"/>
        <v>0.55263157894736847</v>
      </c>
      <c r="S79" s="7">
        <f t="shared" ca="1" si="65"/>
        <v>0.44736842105263158</v>
      </c>
    </row>
    <row r="80" spans="1:19" x14ac:dyDescent="0.15">
      <c r="A80" s="60">
        <v>40</v>
      </c>
      <c r="B80" s="21" t="s">
        <v>21</v>
      </c>
      <c r="C80" s="21">
        <f>[62]PARS_syn_stat!B80</f>
        <v>20</v>
      </c>
      <c r="D80" s="21">
        <f>[62]PARS_syn_stat!C80</f>
        <v>19</v>
      </c>
      <c r="E80" s="22">
        <f t="shared" ref="E80:F80" si="79">C80/(C80+C81)</f>
        <v>0.47619047619047616</v>
      </c>
      <c r="F80" s="22">
        <f t="shared" si="79"/>
        <v>0.59375</v>
      </c>
      <c r="I80" s="60">
        <v>40</v>
      </c>
      <c r="J80" s="21" t="s">
        <v>21</v>
      </c>
      <c r="K80" s="22">
        <f t="shared" si="61"/>
        <v>0.47619047619047616</v>
      </c>
      <c r="L80" s="22">
        <f t="shared" si="61"/>
        <v>0.59375</v>
      </c>
      <c r="O80" s="21">
        <v>78</v>
      </c>
      <c r="P80" s="7">
        <f t="shared" ca="1" si="74"/>
        <v>0.7407407407407407</v>
      </c>
      <c r="Q80" s="7">
        <f t="shared" ca="1" si="67"/>
        <v>0.25925925925925924</v>
      </c>
      <c r="R80" s="7">
        <f t="shared" ca="1" si="64"/>
        <v>0.68</v>
      </c>
      <c r="S80" s="7">
        <f t="shared" ca="1" si="65"/>
        <v>0.32</v>
      </c>
    </row>
    <row r="81" spans="1:19" x14ac:dyDescent="0.15">
      <c r="A81" s="60"/>
      <c r="B81" s="21" t="s">
        <v>22</v>
      </c>
      <c r="C81" s="21">
        <f>[62]PARS_syn_stat!B81</f>
        <v>22</v>
      </c>
      <c r="D81" s="21">
        <f>[62]PARS_syn_stat!C81</f>
        <v>13</v>
      </c>
      <c r="E81" s="22">
        <f t="shared" ref="E81:F81" si="80">C81/(C80+C81)</f>
        <v>0.52380952380952384</v>
      </c>
      <c r="F81" s="22">
        <f t="shared" si="80"/>
        <v>0.40625</v>
      </c>
      <c r="I81" s="60"/>
      <c r="J81" s="21" t="s">
        <v>22</v>
      </c>
      <c r="K81" s="22">
        <f t="shared" si="61"/>
        <v>0.52380952380952384</v>
      </c>
      <c r="L81" s="22">
        <f t="shared" si="61"/>
        <v>0.40625</v>
      </c>
      <c r="O81" s="21">
        <v>79</v>
      </c>
      <c r="P81" s="7">
        <f t="shared" ca="1" si="74"/>
        <v>0.75862068965517238</v>
      </c>
      <c r="Q81" s="7">
        <f t="shared" ca="1" si="67"/>
        <v>0.2413793103448276</v>
      </c>
      <c r="R81" s="7">
        <f t="shared" ca="1" si="64"/>
        <v>0.76190476190476186</v>
      </c>
      <c r="S81" s="7">
        <f t="shared" ca="1" si="65"/>
        <v>0.23809523809523808</v>
      </c>
    </row>
    <row r="82" spans="1:19" x14ac:dyDescent="0.15">
      <c r="A82" s="60">
        <v>41</v>
      </c>
      <c r="B82" s="21" t="s">
        <v>21</v>
      </c>
      <c r="C82" s="21">
        <f>[62]PARS_syn_stat!B82</f>
        <v>30</v>
      </c>
      <c r="D82" s="21">
        <f>[62]PARS_syn_stat!C82</f>
        <v>17</v>
      </c>
      <c r="E82" s="22">
        <f t="shared" ref="E82:F82" si="81">C82/(C82+C83)</f>
        <v>0.61224489795918369</v>
      </c>
      <c r="F82" s="22">
        <f t="shared" si="81"/>
        <v>0.53125</v>
      </c>
      <c r="I82" s="60">
        <v>41</v>
      </c>
      <c r="J82" s="21" t="s">
        <v>21</v>
      </c>
      <c r="K82" s="22">
        <f t="shared" si="61"/>
        <v>0.61224489795918369</v>
      </c>
      <c r="L82" s="22">
        <f t="shared" si="61"/>
        <v>0.53125</v>
      </c>
      <c r="O82" s="21">
        <v>80</v>
      </c>
      <c r="P82" s="7">
        <f t="shared" ca="1" si="74"/>
        <v>0.57692307692307687</v>
      </c>
      <c r="Q82" s="7">
        <f t="shared" ca="1" si="67"/>
        <v>0.42307692307692307</v>
      </c>
      <c r="R82" s="7">
        <f t="shared" ca="1" si="64"/>
        <v>0.52380952380952384</v>
      </c>
      <c r="S82" s="7">
        <f t="shared" ca="1" si="65"/>
        <v>0.47619047619047616</v>
      </c>
    </row>
    <row r="83" spans="1:19" x14ac:dyDescent="0.15">
      <c r="A83" s="60"/>
      <c r="B83" s="21" t="s">
        <v>22</v>
      </c>
      <c r="C83" s="21">
        <f>[62]PARS_syn_stat!B83</f>
        <v>19</v>
      </c>
      <c r="D83" s="21">
        <f>[62]PARS_syn_stat!C83</f>
        <v>15</v>
      </c>
      <c r="E83" s="22">
        <f t="shared" ref="E83:F83" si="82">C83/(C82+C83)</f>
        <v>0.38775510204081631</v>
      </c>
      <c r="F83" s="22">
        <f t="shared" si="82"/>
        <v>0.46875</v>
      </c>
      <c r="I83" s="60"/>
      <c r="J83" s="21" t="s">
        <v>22</v>
      </c>
      <c r="K83" s="22">
        <f t="shared" si="61"/>
        <v>0.38775510204081631</v>
      </c>
      <c r="L83" s="22">
        <f t="shared" si="61"/>
        <v>0.46875</v>
      </c>
      <c r="O83" s="21">
        <v>81</v>
      </c>
      <c r="P83" s="7">
        <f t="shared" ca="1" si="74"/>
        <v>0.66666666666666663</v>
      </c>
      <c r="Q83" s="7">
        <f t="shared" ca="1" si="67"/>
        <v>0.33333333333333331</v>
      </c>
      <c r="R83" s="7">
        <f t="shared" ca="1" si="64"/>
        <v>0.55555555555555558</v>
      </c>
      <c r="S83" s="7">
        <f t="shared" ca="1" si="65"/>
        <v>0.44444444444444442</v>
      </c>
    </row>
    <row r="84" spans="1:19" x14ac:dyDescent="0.15">
      <c r="A84" s="60">
        <v>42</v>
      </c>
      <c r="B84" s="21" t="s">
        <v>21</v>
      </c>
      <c r="C84" s="21">
        <f>[62]PARS_syn_stat!B84</f>
        <v>24</v>
      </c>
      <c r="D84" s="21">
        <f>[62]PARS_syn_stat!C84</f>
        <v>22</v>
      </c>
      <c r="E84" s="22">
        <f t="shared" ref="E84:F84" si="83">C84/(C84+C85)</f>
        <v>0.66666666666666663</v>
      </c>
      <c r="F84" s="22">
        <f t="shared" si="83"/>
        <v>0.57894736842105265</v>
      </c>
      <c r="I84" s="60">
        <v>42</v>
      </c>
      <c r="J84" s="21" t="s">
        <v>21</v>
      </c>
      <c r="K84" s="22">
        <f t="shared" si="61"/>
        <v>0.66666666666666663</v>
      </c>
      <c r="L84" s="22">
        <f t="shared" si="61"/>
        <v>0.57894736842105265</v>
      </c>
      <c r="O84" s="21">
        <v>82</v>
      </c>
      <c r="P84" s="7">
        <f t="shared" ca="1" si="74"/>
        <v>0.68571428571428572</v>
      </c>
      <c r="Q84" s="7">
        <f t="shared" ca="1" si="67"/>
        <v>0.31428571428571428</v>
      </c>
      <c r="R84" s="7">
        <f t="shared" ca="1" si="64"/>
        <v>0.59375</v>
      </c>
      <c r="S84" s="7">
        <f t="shared" ca="1" si="65"/>
        <v>0.40625</v>
      </c>
    </row>
    <row r="85" spans="1:19" x14ac:dyDescent="0.15">
      <c r="A85" s="60"/>
      <c r="B85" s="21" t="s">
        <v>22</v>
      </c>
      <c r="C85" s="21">
        <f>[62]PARS_syn_stat!B85</f>
        <v>12</v>
      </c>
      <c r="D85" s="21">
        <f>[62]PARS_syn_stat!C85</f>
        <v>16</v>
      </c>
      <c r="E85" s="22">
        <f t="shared" ref="E85:F85" si="84">C85/(C84+C85)</f>
        <v>0.33333333333333331</v>
      </c>
      <c r="F85" s="22">
        <f t="shared" si="84"/>
        <v>0.42105263157894735</v>
      </c>
      <c r="I85" s="60"/>
      <c r="J85" s="21" t="s">
        <v>22</v>
      </c>
      <c r="K85" s="22">
        <f t="shared" si="61"/>
        <v>0.33333333333333331</v>
      </c>
      <c r="L85" s="22">
        <f t="shared" si="61"/>
        <v>0.42105263157894735</v>
      </c>
      <c r="O85" s="21">
        <v>83</v>
      </c>
      <c r="P85" s="7">
        <f t="shared" ca="1" si="74"/>
        <v>0.6071428571428571</v>
      </c>
      <c r="Q85" s="7">
        <f t="shared" ca="1" si="67"/>
        <v>0.39285714285714285</v>
      </c>
      <c r="R85" s="7">
        <f t="shared" ca="1" si="64"/>
        <v>0.47619047619047616</v>
      </c>
      <c r="S85" s="7">
        <f t="shared" ca="1" si="65"/>
        <v>0.52380952380952384</v>
      </c>
    </row>
    <row r="86" spans="1:19" x14ac:dyDescent="0.15">
      <c r="A86" s="60">
        <v>43</v>
      </c>
      <c r="B86" s="21" t="s">
        <v>21</v>
      </c>
      <c r="C86" s="21">
        <f>[62]PARS_syn_stat!B86</f>
        <v>27</v>
      </c>
      <c r="D86" s="21">
        <f>[62]PARS_syn_stat!C86</f>
        <v>24</v>
      </c>
      <c r="E86" s="22">
        <f t="shared" ref="E86:F86" si="85">C86/(C86+C87)</f>
        <v>0.62790697674418605</v>
      </c>
      <c r="F86" s="22">
        <f t="shared" si="85"/>
        <v>0.64864864864864868</v>
      </c>
      <c r="I86" s="60">
        <v>43</v>
      </c>
      <c r="J86" s="21" t="s">
        <v>21</v>
      </c>
      <c r="K86" s="22">
        <f t="shared" si="61"/>
        <v>0.62790697674418605</v>
      </c>
      <c r="L86" s="22">
        <f t="shared" si="61"/>
        <v>0.64864864864864868</v>
      </c>
      <c r="O86" s="21">
        <v>84</v>
      </c>
      <c r="P86" s="7">
        <f t="shared" ca="1" si="74"/>
        <v>0.61290322580645162</v>
      </c>
      <c r="Q86" s="7">
        <f t="shared" ca="1" si="67"/>
        <v>0.38709677419354838</v>
      </c>
      <c r="R86" s="7">
        <f t="shared" ca="1" si="64"/>
        <v>0.5</v>
      </c>
      <c r="S86" s="7">
        <f t="shared" ca="1" si="65"/>
        <v>0.5</v>
      </c>
    </row>
    <row r="87" spans="1:19" x14ac:dyDescent="0.15">
      <c r="A87" s="60"/>
      <c r="B87" s="21" t="s">
        <v>22</v>
      </c>
      <c r="C87" s="21">
        <f>[62]PARS_syn_stat!B87</f>
        <v>16</v>
      </c>
      <c r="D87" s="21">
        <f>[62]PARS_syn_stat!C87</f>
        <v>13</v>
      </c>
      <c r="E87" s="22">
        <f t="shared" ref="E87:F87" si="86">C87/(C86+C87)</f>
        <v>0.37209302325581395</v>
      </c>
      <c r="F87" s="22">
        <f t="shared" si="86"/>
        <v>0.35135135135135137</v>
      </c>
      <c r="I87" s="60"/>
      <c r="J87" s="21" t="s">
        <v>22</v>
      </c>
      <c r="K87" s="22">
        <f t="shared" si="61"/>
        <v>0.37209302325581395</v>
      </c>
      <c r="L87" s="22">
        <f t="shared" si="61"/>
        <v>0.35135135135135137</v>
      </c>
      <c r="O87" s="21">
        <v>85</v>
      </c>
      <c r="P87" s="7">
        <f t="shared" ca="1" si="74"/>
        <v>0.55813953488372092</v>
      </c>
      <c r="Q87" s="7">
        <f t="shared" ca="1" si="67"/>
        <v>0.44186046511627908</v>
      </c>
      <c r="R87" s="7">
        <f t="shared" ca="1" si="64"/>
        <v>0.52380952380952384</v>
      </c>
      <c r="S87" s="7">
        <f t="shared" ca="1" si="65"/>
        <v>0.47619047619047616</v>
      </c>
    </row>
    <row r="88" spans="1:19" x14ac:dyDescent="0.15">
      <c r="A88" s="60">
        <v>44</v>
      </c>
      <c r="B88" s="21" t="s">
        <v>21</v>
      </c>
      <c r="C88" s="21">
        <f>[62]PARS_syn_stat!B88</f>
        <v>25</v>
      </c>
      <c r="D88" s="21">
        <f>[62]PARS_syn_stat!C88</f>
        <v>26</v>
      </c>
      <c r="E88" s="22">
        <f t="shared" ref="E88:F88" si="87">C88/(C88+C89)</f>
        <v>0.67567567567567566</v>
      </c>
      <c r="F88" s="22">
        <f t="shared" si="87"/>
        <v>0.70270270270270274</v>
      </c>
      <c r="I88" s="60">
        <v>44</v>
      </c>
      <c r="J88" s="21" t="s">
        <v>21</v>
      </c>
      <c r="K88" s="22">
        <f t="shared" si="61"/>
        <v>0.67567567567567566</v>
      </c>
      <c r="L88" s="22">
        <f t="shared" si="61"/>
        <v>0.70270270270270274</v>
      </c>
      <c r="O88" s="21">
        <v>86</v>
      </c>
      <c r="P88" s="7">
        <f t="shared" ca="1" si="74"/>
        <v>0.70833333333333337</v>
      </c>
      <c r="Q88" s="7">
        <f t="shared" ca="1" si="67"/>
        <v>0.29166666666666669</v>
      </c>
      <c r="R88" s="7">
        <f t="shared" ca="1" si="64"/>
        <v>0.61290322580645162</v>
      </c>
      <c r="S88" s="7">
        <f t="shared" ca="1" si="65"/>
        <v>0.38709677419354838</v>
      </c>
    </row>
    <row r="89" spans="1:19" x14ac:dyDescent="0.15">
      <c r="A89" s="60"/>
      <c r="B89" s="21" t="s">
        <v>22</v>
      </c>
      <c r="C89" s="21">
        <f>[62]PARS_syn_stat!B89</f>
        <v>12</v>
      </c>
      <c r="D89" s="21">
        <f>[62]PARS_syn_stat!C89</f>
        <v>11</v>
      </c>
      <c r="E89" s="22">
        <f t="shared" ref="E89:F89" si="88">C89/(C88+C89)</f>
        <v>0.32432432432432434</v>
      </c>
      <c r="F89" s="22">
        <f t="shared" si="88"/>
        <v>0.29729729729729731</v>
      </c>
      <c r="I89" s="60"/>
      <c r="J89" s="21" t="s">
        <v>22</v>
      </c>
      <c r="K89" s="22">
        <f t="shared" si="61"/>
        <v>0.32432432432432434</v>
      </c>
      <c r="L89" s="22">
        <f t="shared" si="61"/>
        <v>0.29729729729729731</v>
      </c>
      <c r="O89" s="21">
        <v>87</v>
      </c>
      <c r="P89" s="7">
        <f t="shared" ca="1" si="74"/>
        <v>0.58333333333333337</v>
      </c>
      <c r="Q89" s="7">
        <f t="shared" ca="1" si="67"/>
        <v>0.41666666666666669</v>
      </c>
      <c r="R89" s="7">
        <f t="shared" ca="1" si="64"/>
        <v>0.6</v>
      </c>
      <c r="S89" s="7">
        <f t="shared" ca="1" si="65"/>
        <v>0.4</v>
      </c>
    </row>
    <row r="90" spans="1:19" x14ac:dyDescent="0.15">
      <c r="A90" s="60">
        <v>45</v>
      </c>
      <c r="B90" s="21" t="s">
        <v>21</v>
      </c>
      <c r="C90" s="21">
        <f>[62]PARS_syn_stat!B90</f>
        <v>22</v>
      </c>
      <c r="D90" s="21">
        <f>[62]PARS_syn_stat!C90</f>
        <v>18</v>
      </c>
      <c r="E90" s="22">
        <f t="shared" ref="E90:F90" si="89">C90/(C90+C91)</f>
        <v>0.66666666666666663</v>
      </c>
      <c r="F90" s="22">
        <f t="shared" si="89"/>
        <v>0.51428571428571423</v>
      </c>
      <c r="I90" s="60">
        <v>45</v>
      </c>
      <c r="J90" s="21" t="s">
        <v>21</v>
      </c>
      <c r="K90" s="22">
        <f t="shared" si="61"/>
        <v>0.66666666666666663</v>
      </c>
      <c r="L90" s="22">
        <f t="shared" si="61"/>
        <v>0.51428571428571423</v>
      </c>
      <c r="O90" s="21">
        <v>88</v>
      </c>
      <c r="P90" s="7">
        <f t="shared" ca="1" si="74"/>
        <v>0.68</v>
      </c>
      <c r="Q90" s="7">
        <f t="shared" ca="1" si="67"/>
        <v>0.32</v>
      </c>
      <c r="R90" s="7">
        <f t="shared" ca="1" si="64"/>
        <v>0.63636363636363635</v>
      </c>
      <c r="S90" s="7">
        <f t="shared" ca="1" si="65"/>
        <v>0.36363636363636365</v>
      </c>
    </row>
    <row r="91" spans="1:19" x14ac:dyDescent="0.15">
      <c r="A91" s="60"/>
      <c r="B91" s="21" t="s">
        <v>22</v>
      </c>
      <c r="C91" s="21">
        <f>[62]PARS_syn_stat!B91</f>
        <v>11</v>
      </c>
      <c r="D91" s="21">
        <f>[62]PARS_syn_stat!C91</f>
        <v>17</v>
      </c>
      <c r="E91" s="22">
        <f t="shared" ref="E91:F91" si="90">C91/(C90+C91)</f>
        <v>0.33333333333333331</v>
      </c>
      <c r="F91" s="22">
        <f t="shared" si="90"/>
        <v>0.48571428571428571</v>
      </c>
      <c r="I91" s="60"/>
      <c r="J91" s="21" t="s">
        <v>22</v>
      </c>
      <c r="K91" s="22">
        <f t="shared" si="61"/>
        <v>0.33333333333333331</v>
      </c>
      <c r="L91" s="22">
        <f t="shared" si="61"/>
        <v>0.48571428571428571</v>
      </c>
      <c r="O91" s="21">
        <v>89</v>
      </c>
      <c r="P91" s="7">
        <f t="shared" ca="1" si="74"/>
        <v>0.65625</v>
      </c>
      <c r="Q91" s="7">
        <f t="shared" ca="1" si="67"/>
        <v>0.34375</v>
      </c>
      <c r="R91" s="7">
        <f t="shared" ca="1" si="64"/>
        <v>0.65517241379310343</v>
      </c>
      <c r="S91" s="7">
        <f t="shared" ca="1" si="65"/>
        <v>0.34482758620689657</v>
      </c>
    </row>
    <row r="92" spans="1:19" x14ac:dyDescent="0.15">
      <c r="A92" s="60">
        <v>46</v>
      </c>
      <c r="B92" s="21" t="s">
        <v>21</v>
      </c>
      <c r="C92" s="21">
        <f>[62]PARS_syn_stat!B92</f>
        <v>20</v>
      </c>
      <c r="D92" s="21">
        <f>[62]PARS_syn_stat!C92</f>
        <v>22</v>
      </c>
      <c r="E92" s="22">
        <f t="shared" ref="E92:F92" si="91">C92/(C92+C93)</f>
        <v>0.47619047619047616</v>
      </c>
      <c r="F92" s="22">
        <f t="shared" si="91"/>
        <v>0.66666666666666663</v>
      </c>
      <c r="I92" s="60">
        <v>46</v>
      </c>
      <c r="J92" s="21" t="s">
        <v>21</v>
      </c>
      <c r="K92" s="22">
        <f t="shared" si="61"/>
        <v>0.47619047619047616</v>
      </c>
      <c r="L92" s="22">
        <f t="shared" si="61"/>
        <v>0.66666666666666663</v>
      </c>
      <c r="O92" s="21">
        <v>90</v>
      </c>
      <c r="P92" s="7">
        <f t="shared" ca="1" si="74"/>
        <v>0.56756756756756754</v>
      </c>
      <c r="Q92" s="7">
        <f t="shared" ca="1" si="67"/>
        <v>0.43243243243243246</v>
      </c>
      <c r="R92" s="7">
        <f t="shared" ca="1" si="64"/>
        <v>0.51851851851851849</v>
      </c>
      <c r="S92" s="7">
        <f t="shared" ca="1" si="65"/>
        <v>0.48148148148148145</v>
      </c>
    </row>
    <row r="93" spans="1:19" x14ac:dyDescent="0.15">
      <c r="A93" s="60"/>
      <c r="B93" s="21" t="s">
        <v>22</v>
      </c>
      <c r="C93" s="21">
        <f>[62]PARS_syn_stat!B93</f>
        <v>22</v>
      </c>
      <c r="D93" s="21">
        <f>[62]PARS_syn_stat!C93</f>
        <v>11</v>
      </c>
      <c r="E93" s="22">
        <f t="shared" ref="E93:F93" si="92">C93/(C92+C93)</f>
        <v>0.52380952380952384</v>
      </c>
      <c r="F93" s="22">
        <f t="shared" si="92"/>
        <v>0.33333333333333331</v>
      </c>
      <c r="I93" s="60"/>
      <c r="J93" s="21" t="s">
        <v>22</v>
      </c>
      <c r="K93" s="22">
        <f t="shared" si="61"/>
        <v>0.52380952380952384</v>
      </c>
      <c r="L93" s="22">
        <f t="shared" si="61"/>
        <v>0.33333333333333331</v>
      </c>
      <c r="O93" s="21">
        <v>91</v>
      </c>
      <c r="P93" s="7">
        <f t="shared" ca="1" si="74"/>
        <v>0.60606060606060608</v>
      </c>
      <c r="Q93" s="7">
        <f t="shared" ca="1" si="67"/>
        <v>0.39393939393939392</v>
      </c>
      <c r="R93" s="7">
        <f t="shared" ca="1" si="64"/>
        <v>0.4</v>
      </c>
      <c r="S93" s="7">
        <f t="shared" ca="1" si="65"/>
        <v>0.6</v>
      </c>
    </row>
    <row r="94" spans="1:19" x14ac:dyDescent="0.15">
      <c r="A94" s="60">
        <v>47</v>
      </c>
      <c r="B94" s="21" t="s">
        <v>21</v>
      </c>
      <c r="C94" s="21">
        <f>[62]PARS_syn_stat!B94</f>
        <v>21</v>
      </c>
      <c r="D94" s="21">
        <f>[62]PARS_syn_stat!C94</f>
        <v>13</v>
      </c>
      <c r="E94" s="22">
        <f t="shared" ref="E94:F94" si="93">C94/(C94+C95)</f>
        <v>0.63636363636363635</v>
      </c>
      <c r="F94" s="22">
        <f t="shared" si="93"/>
        <v>0.48148148148148145</v>
      </c>
      <c r="I94" s="60">
        <v>47</v>
      </c>
      <c r="J94" s="21" t="s">
        <v>21</v>
      </c>
      <c r="K94" s="22">
        <f t="shared" si="61"/>
        <v>0.63636363636363635</v>
      </c>
      <c r="L94" s="22">
        <f t="shared" si="61"/>
        <v>0.48148148148148145</v>
      </c>
      <c r="O94" s="21">
        <v>92</v>
      </c>
      <c r="P94" s="7">
        <f t="shared" ca="1" si="74"/>
        <v>0.6</v>
      </c>
      <c r="Q94" s="7">
        <f t="shared" ca="1" si="67"/>
        <v>0.4</v>
      </c>
      <c r="R94" s="7">
        <f t="shared" ca="1" si="64"/>
        <v>0.62962962962962965</v>
      </c>
      <c r="S94" s="7">
        <f t="shared" ca="1" si="65"/>
        <v>0.37037037037037035</v>
      </c>
    </row>
    <row r="95" spans="1:19" x14ac:dyDescent="0.15">
      <c r="A95" s="60"/>
      <c r="B95" s="21" t="s">
        <v>22</v>
      </c>
      <c r="C95" s="21">
        <f>[62]PARS_syn_stat!B95</f>
        <v>12</v>
      </c>
      <c r="D95" s="21">
        <f>[62]PARS_syn_stat!C95</f>
        <v>14</v>
      </c>
      <c r="E95" s="22">
        <f t="shared" ref="E95:F95" si="94">C95/(C94+C95)</f>
        <v>0.36363636363636365</v>
      </c>
      <c r="F95" s="22">
        <f t="shared" si="94"/>
        <v>0.51851851851851849</v>
      </c>
      <c r="I95" s="60"/>
      <c r="J95" s="21" t="s">
        <v>22</v>
      </c>
      <c r="K95" s="22">
        <f t="shared" si="61"/>
        <v>0.36363636363636365</v>
      </c>
      <c r="L95" s="22">
        <f t="shared" si="61"/>
        <v>0.51851851851851849</v>
      </c>
      <c r="O95" s="21">
        <v>93</v>
      </c>
      <c r="P95" s="7">
        <f t="shared" ca="1" si="74"/>
        <v>0.81818181818181823</v>
      </c>
      <c r="Q95" s="7">
        <f t="shared" ca="1" si="67"/>
        <v>0.18181818181818182</v>
      </c>
      <c r="R95" s="7">
        <f t="shared" ca="1" si="64"/>
        <v>0.69696969696969702</v>
      </c>
      <c r="S95" s="7">
        <f t="shared" ca="1" si="65"/>
        <v>0.30303030303030304</v>
      </c>
    </row>
    <row r="96" spans="1:19" x14ac:dyDescent="0.15">
      <c r="A96" s="60">
        <v>48</v>
      </c>
      <c r="B96" s="21" t="s">
        <v>21</v>
      </c>
      <c r="C96" s="21">
        <f>[62]PARS_syn_stat!B96</f>
        <v>23</v>
      </c>
      <c r="D96" s="21">
        <f>[62]PARS_syn_stat!C96</f>
        <v>26</v>
      </c>
      <c r="E96" s="22">
        <f t="shared" ref="E96:F96" si="95">C96/(C96+C97)</f>
        <v>0.52272727272727271</v>
      </c>
      <c r="F96" s="22">
        <f t="shared" si="95"/>
        <v>0.66666666666666663</v>
      </c>
      <c r="I96" s="60">
        <v>48</v>
      </c>
      <c r="J96" s="21" t="s">
        <v>21</v>
      </c>
      <c r="K96" s="22">
        <f t="shared" si="61"/>
        <v>0.52272727272727271</v>
      </c>
      <c r="L96" s="22">
        <f t="shared" si="61"/>
        <v>0.66666666666666663</v>
      </c>
      <c r="O96" s="21">
        <v>94</v>
      </c>
      <c r="P96" s="7">
        <f t="shared" ca="1" si="74"/>
        <v>0.56666666666666665</v>
      </c>
      <c r="Q96" s="7">
        <f t="shared" ca="1" si="67"/>
        <v>0.43333333333333335</v>
      </c>
      <c r="R96" s="7">
        <f t="shared" ca="1" si="64"/>
        <v>0.5625</v>
      </c>
      <c r="S96" s="7">
        <f t="shared" ca="1" si="65"/>
        <v>0.4375</v>
      </c>
    </row>
    <row r="97" spans="1:19" x14ac:dyDescent="0.15">
      <c r="A97" s="60"/>
      <c r="B97" s="21" t="s">
        <v>22</v>
      </c>
      <c r="C97" s="21">
        <f>[62]PARS_syn_stat!B97</f>
        <v>21</v>
      </c>
      <c r="D97" s="21">
        <f>[62]PARS_syn_stat!C97</f>
        <v>13</v>
      </c>
      <c r="E97" s="22">
        <f t="shared" ref="E97:F97" si="96">C97/(C96+C97)</f>
        <v>0.47727272727272729</v>
      </c>
      <c r="F97" s="22">
        <f t="shared" si="96"/>
        <v>0.33333333333333331</v>
      </c>
      <c r="I97" s="60"/>
      <c r="J97" s="21" t="s">
        <v>22</v>
      </c>
      <c r="K97" s="22">
        <f t="shared" si="61"/>
        <v>0.47727272727272729</v>
      </c>
      <c r="L97" s="22">
        <f t="shared" si="61"/>
        <v>0.33333333333333331</v>
      </c>
      <c r="O97" s="21">
        <v>95</v>
      </c>
      <c r="P97" s="7">
        <f t="shared" ca="1" si="74"/>
        <v>0.5625</v>
      </c>
      <c r="Q97" s="7">
        <f t="shared" ca="1" si="67"/>
        <v>0.4375</v>
      </c>
      <c r="R97" s="7">
        <f t="shared" ca="1" si="64"/>
        <v>0.45</v>
      </c>
      <c r="S97" s="7">
        <f t="shared" ca="1" si="65"/>
        <v>0.55000000000000004</v>
      </c>
    </row>
    <row r="98" spans="1:19" x14ac:dyDescent="0.15">
      <c r="A98" s="60">
        <v>49</v>
      </c>
      <c r="B98" s="21" t="s">
        <v>21</v>
      </c>
      <c r="C98" s="21">
        <f>[62]PARS_syn_stat!B98</f>
        <v>18</v>
      </c>
      <c r="D98" s="21">
        <f>[62]PARS_syn_stat!C98</f>
        <v>19</v>
      </c>
      <c r="E98" s="22">
        <f t="shared" ref="E98:F98" si="97">C98/(C98+C99)</f>
        <v>0.47368421052631576</v>
      </c>
      <c r="F98" s="22">
        <f t="shared" si="97"/>
        <v>0.59375</v>
      </c>
      <c r="I98" s="60">
        <v>49</v>
      </c>
      <c r="J98" s="21" t="s">
        <v>21</v>
      </c>
      <c r="K98" s="22">
        <f t="shared" si="61"/>
        <v>0.47368421052631576</v>
      </c>
      <c r="L98" s="22">
        <f t="shared" si="61"/>
        <v>0.59375</v>
      </c>
      <c r="O98" s="21">
        <v>96</v>
      </c>
      <c r="P98" s="7">
        <f t="shared" ca="1" si="74"/>
        <v>0.70588235294117652</v>
      </c>
      <c r="Q98" s="7">
        <f t="shared" ca="1" si="67"/>
        <v>0.29411764705882354</v>
      </c>
      <c r="R98" s="7">
        <f t="shared" ca="1" si="64"/>
        <v>0.44117647058823528</v>
      </c>
      <c r="S98" s="7">
        <f t="shared" ca="1" si="65"/>
        <v>0.55882352941176472</v>
      </c>
    </row>
    <row r="99" spans="1:19" x14ac:dyDescent="0.15">
      <c r="A99" s="60"/>
      <c r="B99" s="21" t="s">
        <v>22</v>
      </c>
      <c r="C99" s="21">
        <f>[62]PARS_syn_stat!B99</f>
        <v>20</v>
      </c>
      <c r="D99" s="21">
        <f>[62]PARS_syn_stat!C99</f>
        <v>13</v>
      </c>
      <c r="E99" s="22">
        <f t="shared" ref="E99:F99" si="98">C99/(C98+C99)</f>
        <v>0.52631578947368418</v>
      </c>
      <c r="F99" s="22">
        <f t="shared" si="98"/>
        <v>0.40625</v>
      </c>
      <c r="I99" s="60"/>
      <c r="J99" s="21" t="s">
        <v>22</v>
      </c>
      <c r="K99" s="22">
        <f t="shared" si="61"/>
        <v>0.52631578947368418</v>
      </c>
      <c r="L99" s="22">
        <f t="shared" si="61"/>
        <v>0.40625</v>
      </c>
      <c r="O99" s="21">
        <v>97</v>
      </c>
      <c r="P99" s="7">
        <f t="shared" ca="1" si="74"/>
        <v>0.55000000000000004</v>
      </c>
      <c r="Q99" s="7">
        <f t="shared" ca="1" si="67"/>
        <v>0.45</v>
      </c>
      <c r="R99" s="7">
        <f t="shared" ca="1" si="64"/>
        <v>0.60606060606060608</v>
      </c>
      <c r="S99" s="7">
        <f t="shared" ca="1" si="65"/>
        <v>0.39393939393939392</v>
      </c>
    </row>
    <row r="100" spans="1:19" x14ac:dyDescent="0.15">
      <c r="A100" s="60">
        <v>50</v>
      </c>
      <c r="B100" s="21" t="s">
        <v>21</v>
      </c>
      <c r="C100" s="21">
        <f>[62]PARS_syn_stat!B100</f>
        <v>23</v>
      </c>
      <c r="D100" s="21">
        <f>[62]PARS_syn_stat!C100</f>
        <v>21</v>
      </c>
      <c r="E100" s="22">
        <f t="shared" ref="E100:F100" si="99">C100/(C100+C101)</f>
        <v>0.44230769230769229</v>
      </c>
      <c r="F100" s="22">
        <f t="shared" si="99"/>
        <v>0.58333333333333337</v>
      </c>
      <c r="I100" s="60">
        <v>50</v>
      </c>
      <c r="J100" s="21" t="s">
        <v>21</v>
      </c>
      <c r="K100" s="22">
        <f t="shared" si="61"/>
        <v>0.44230769230769229</v>
      </c>
      <c r="L100" s="22">
        <f t="shared" si="61"/>
        <v>0.58333333333333337</v>
      </c>
      <c r="O100" s="21">
        <v>98</v>
      </c>
      <c r="P100" s="7">
        <f t="shared" ca="1" si="74"/>
        <v>0.59459459459459463</v>
      </c>
      <c r="Q100" s="7">
        <f t="shared" ca="1" si="67"/>
        <v>0.40540540540540543</v>
      </c>
      <c r="R100" s="7">
        <f t="shared" ca="1" si="64"/>
        <v>0.45833333333333331</v>
      </c>
      <c r="S100" s="7">
        <f t="shared" ca="1" si="65"/>
        <v>0.54166666666666663</v>
      </c>
    </row>
    <row r="101" spans="1:19" x14ac:dyDescent="0.15">
      <c r="A101" s="60"/>
      <c r="B101" s="21" t="s">
        <v>22</v>
      </c>
      <c r="C101" s="21">
        <f>[62]PARS_syn_stat!B101</f>
        <v>29</v>
      </c>
      <c r="D101" s="21">
        <f>[62]PARS_syn_stat!C101</f>
        <v>15</v>
      </c>
      <c r="E101" s="22">
        <f t="shared" ref="E101:F101" si="100">C101/(C100+C101)</f>
        <v>0.55769230769230771</v>
      </c>
      <c r="F101" s="22">
        <f t="shared" si="100"/>
        <v>0.41666666666666669</v>
      </c>
      <c r="I101" s="60"/>
      <c r="J101" s="21" t="s">
        <v>22</v>
      </c>
      <c r="K101" s="22">
        <f t="shared" si="61"/>
        <v>0.55769230769230771</v>
      </c>
      <c r="L101" s="22">
        <f t="shared" si="61"/>
        <v>0.41666666666666669</v>
      </c>
      <c r="O101" s="21">
        <v>99</v>
      </c>
      <c r="P101" s="7">
        <f t="shared" ca="1" si="74"/>
        <v>0.65853658536585369</v>
      </c>
      <c r="Q101" s="7">
        <f t="shared" ca="1" si="67"/>
        <v>0.34146341463414637</v>
      </c>
      <c r="R101" s="7">
        <f t="shared" ca="1" si="64"/>
        <v>0.4375</v>
      </c>
      <c r="S101" s="7">
        <f t="shared" ca="1" si="65"/>
        <v>0.5625</v>
      </c>
    </row>
    <row r="102" spans="1:19" x14ac:dyDescent="0.15">
      <c r="A102" s="60">
        <v>51</v>
      </c>
      <c r="B102" s="21" t="s">
        <v>21</v>
      </c>
      <c r="C102" s="21">
        <f>[62]PARS_syn_stat!B102</f>
        <v>23</v>
      </c>
      <c r="D102" s="21">
        <f>[62]PARS_syn_stat!C102</f>
        <v>13</v>
      </c>
      <c r="E102" s="22">
        <f t="shared" ref="E102:F102" si="101">C102/(C102+C103)</f>
        <v>0.63888888888888884</v>
      </c>
      <c r="F102" s="22">
        <f t="shared" si="101"/>
        <v>0.5</v>
      </c>
      <c r="I102" s="60">
        <v>51</v>
      </c>
      <c r="J102" s="21" t="s">
        <v>21</v>
      </c>
      <c r="K102" s="22">
        <f t="shared" si="61"/>
        <v>0.63888888888888884</v>
      </c>
      <c r="L102" s="22">
        <f t="shared" si="61"/>
        <v>0.5</v>
      </c>
      <c r="O102" s="21">
        <v>100</v>
      </c>
      <c r="P102" s="7">
        <f t="shared" ca="1" si="74"/>
        <v>0.7142857142857143</v>
      </c>
      <c r="Q102" s="7">
        <f t="shared" ca="1" si="67"/>
        <v>0.2857142857142857</v>
      </c>
      <c r="R102" s="7">
        <f t="shared" ca="1" si="64"/>
        <v>0.53333333333333333</v>
      </c>
      <c r="S102" s="7">
        <f t="shared" ca="1" si="65"/>
        <v>0.46666666666666667</v>
      </c>
    </row>
    <row r="103" spans="1:19" x14ac:dyDescent="0.15">
      <c r="A103" s="60"/>
      <c r="B103" s="21" t="s">
        <v>22</v>
      </c>
      <c r="C103" s="21">
        <f>[62]PARS_syn_stat!B103</f>
        <v>13</v>
      </c>
      <c r="D103" s="21">
        <f>[62]PARS_syn_stat!C103</f>
        <v>13</v>
      </c>
      <c r="E103" s="22">
        <f t="shared" ref="E103:F103" si="102">C103/(C102+C103)</f>
        <v>0.3611111111111111</v>
      </c>
      <c r="F103" s="22">
        <f t="shared" si="102"/>
        <v>0.5</v>
      </c>
      <c r="I103" s="60"/>
      <c r="J103" s="21" t="s">
        <v>22</v>
      </c>
      <c r="K103" s="22">
        <f t="shared" si="61"/>
        <v>0.3611111111111111</v>
      </c>
      <c r="L103" s="22">
        <f t="shared" si="61"/>
        <v>0.5</v>
      </c>
      <c r="O103" s="21">
        <v>101</v>
      </c>
      <c r="P103" s="7">
        <f t="shared" ca="1" si="74"/>
        <v>0.60869565217391308</v>
      </c>
      <c r="Q103" s="7">
        <f t="shared" ca="1" si="67"/>
        <v>0.39130434782608697</v>
      </c>
      <c r="R103" s="7">
        <f t="shared" ca="1" si="64"/>
        <v>0.52380952380952384</v>
      </c>
      <c r="S103" s="7">
        <f t="shared" ca="1" si="65"/>
        <v>0.47619047619047616</v>
      </c>
    </row>
    <row r="104" spans="1:19" x14ac:dyDescent="0.15">
      <c r="A104" s="60">
        <v>52</v>
      </c>
      <c r="B104" s="21" t="s">
        <v>21</v>
      </c>
      <c r="C104" s="21">
        <f>[62]PARS_syn_stat!B104</f>
        <v>20</v>
      </c>
      <c r="D104" s="21">
        <f>[62]PARS_syn_stat!C104</f>
        <v>24</v>
      </c>
      <c r="E104" s="22">
        <f t="shared" ref="E104:F104" si="103">C104/(C104+C105)</f>
        <v>0.5714285714285714</v>
      </c>
      <c r="F104" s="22">
        <f t="shared" si="103"/>
        <v>0.61538461538461542</v>
      </c>
      <c r="I104" s="60">
        <v>52</v>
      </c>
      <c r="J104" s="21" t="s">
        <v>21</v>
      </c>
      <c r="K104" s="22">
        <f t="shared" si="61"/>
        <v>0.5714285714285714</v>
      </c>
      <c r="L104" s="22">
        <f t="shared" si="61"/>
        <v>0.61538461538461542</v>
      </c>
      <c r="O104" s="21">
        <v>102</v>
      </c>
      <c r="P104" s="7">
        <f t="shared" ca="1" si="74"/>
        <v>0.51020408163265307</v>
      </c>
      <c r="Q104" s="7">
        <f t="shared" ca="1" si="67"/>
        <v>0.48979591836734693</v>
      </c>
      <c r="R104" s="7">
        <f t="shared" ca="1" si="64"/>
        <v>0.4838709677419355</v>
      </c>
      <c r="S104" s="7">
        <f t="shared" ca="1" si="65"/>
        <v>0.5161290322580645</v>
      </c>
    </row>
    <row r="105" spans="1:19" x14ac:dyDescent="0.15">
      <c r="A105" s="60"/>
      <c r="B105" s="21" t="s">
        <v>22</v>
      </c>
      <c r="C105" s="21">
        <f>[62]PARS_syn_stat!B105</f>
        <v>15</v>
      </c>
      <c r="D105" s="21">
        <f>[62]PARS_syn_stat!C105</f>
        <v>15</v>
      </c>
      <c r="E105" s="22">
        <f t="shared" ref="E105:F105" si="104">C105/(C104+C105)</f>
        <v>0.42857142857142855</v>
      </c>
      <c r="F105" s="22">
        <f t="shared" si="104"/>
        <v>0.38461538461538464</v>
      </c>
      <c r="I105" s="60"/>
      <c r="J105" s="21" t="s">
        <v>22</v>
      </c>
      <c r="K105" s="22">
        <f t="shared" si="61"/>
        <v>0.42857142857142855</v>
      </c>
      <c r="L105" s="22">
        <f t="shared" si="61"/>
        <v>0.38461538461538464</v>
      </c>
      <c r="O105" s="21">
        <v>103</v>
      </c>
      <c r="P105" s="7">
        <f t="shared" ca="1" si="74"/>
        <v>0.53125</v>
      </c>
      <c r="Q105" s="7">
        <f t="shared" ca="1" si="67"/>
        <v>0.46875</v>
      </c>
      <c r="R105" s="7">
        <f t="shared" ca="1" si="64"/>
        <v>0.54838709677419351</v>
      </c>
      <c r="S105" s="7">
        <f t="shared" ca="1" si="65"/>
        <v>0.45161290322580644</v>
      </c>
    </row>
    <row r="106" spans="1:19" x14ac:dyDescent="0.15">
      <c r="A106" s="60">
        <v>53</v>
      </c>
      <c r="B106" s="21" t="s">
        <v>21</v>
      </c>
      <c r="C106" s="21">
        <f>[62]PARS_syn_stat!B106</f>
        <v>16</v>
      </c>
      <c r="D106" s="21">
        <f>[62]PARS_syn_stat!C106</f>
        <v>18</v>
      </c>
      <c r="E106" s="22">
        <f t="shared" ref="E106:F106" si="105">C106/(C106+C107)</f>
        <v>0.5161290322580645</v>
      </c>
      <c r="F106" s="22">
        <f t="shared" si="105"/>
        <v>0.66666666666666663</v>
      </c>
      <c r="I106" s="60">
        <v>53</v>
      </c>
      <c r="J106" s="21" t="s">
        <v>21</v>
      </c>
      <c r="K106" s="22">
        <f t="shared" si="61"/>
        <v>0.5161290322580645</v>
      </c>
      <c r="L106" s="22">
        <f t="shared" si="61"/>
        <v>0.66666666666666663</v>
      </c>
      <c r="O106" s="21">
        <v>104</v>
      </c>
      <c r="P106" s="7">
        <f t="shared" ca="1" si="74"/>
        <v>0.58536585365853655</v>
      </c>
      <c r="Q106" s="7">
        <f t="shared" ca="1" si="67"/>
        <v>0.41463414634146339</v>
      </c>
      <c r="R106" s="7">
        <f t="shared" ca="1" si="64"/>
        <v>0.58333333333333337</v>
      </c>
      <c r="S106" s="7">
        <f t="shared" ca="1" si="65"/>
        <v>0.41666666666666669</v>
      </c>
    </row>
    <row r="107" spans="1:19" x14ac:dyDescent="0.15">
      <c r="A107" s="60"/>
      <c r="B107" s="21" t="s">
        <v>22</v>
      </c>
      <c r="C107" s="21">
        <f>[62]PARS_syn_stat!B107</f>
        <v>15</v>
      </c>
      <c r="D107" s="21">
        <f>[62]PARS_syn_stat!C107</f>
        <v>9</v>
      </c>
      <c r="E107" s="22">
        <f t="shared" ref="E107:F107" si="106">C107/(C106+C107)</f>
        <v>0.4838709677419355</v>
      </c>
      <c r="F107" s="22">
        <f t="shared" si="106"/>
        <v>0.33333333333333331</v>
      </c>
      <c r="I107" s="60"/>
      <c r="J107" s="21" t="s">
        <v>22</v>
      </c>
      <c r="K107" s="22">
        <f t="shared" si="61"/>
        <v>0.4838709677419355</v>
      </c>
      <c r="L107" s="22">
        <f t="shared" si="61"/>
        <v>0.33333333333333331</v>
      </c>
      <c r="O107" s="21">
        <v>105</v>
      </c>
      <c r="P107" s="7">
        <f t="shared" ca="1" si="74"/>
        <v>0.4838709677419355</v>
      </c>
      <c r="Q107" s="7">
        <f t="shared" ca="1" si="67"/>
        <v>0.5161290322580645</v>
      </c>
      <c r="R107" s="7">
        <f t="shared" ca="1" si="64"/>
        <v>0.5714285714285714</v>
      </c>
      <c r="S107" s="7">
        <f t="shared" ca="1" si="65"/>
        <v>0.42857142857142855</v>
      </c>
    </row>
    <row r="108" spans="1:19" x14ac:dyDescent="0.15">
      <c r="A108" s="60">
        <v>54</v>
      </c>
      <c r="B108" s="21" t="s">
        <v>21</v>
      </c>
      <c r="C108" s="21">
        <f>[62]PARS_syn_stat!B108</f>
        <v>23</v>
      </c>
      <c r="D108" s="21">
        <f>[62]PARS_syn_stat!C108</f>
        <v>20</v>
      </c>
      <c r="E108" s="22">
        <f t="shared" ref="E108:F108" si="107">C108/(C108+C109)</f>
        <v>0.57499999999999996</v>
      </c>
      <c r="F108" s="22">
        <f t="shared" si="107"/>
        <v>0.64516129032258063</v>
      </c>
      <c r="I108" s="60">
        <v>54</v>
      </c>
      <c r="J108" s="21" t="s">
        <v>21</v>
      </c>
      <c r="K108" s="22">
        <f t="shared" si="61"/>
        <v>0.57499999999999996</v>
      </c>
      <c r="L108" s="22">
        <f t="shared" si="61"/>
        <v>0.64516129032258063</v>
      </c>
      <c r="O108" s="21">
        <v>106</v>
      </c>
      <c r="P108" s="7">
        <f t="shared" ca="1" si="74"/>
        <v>0.69444444444444442</v>
      </c>
      <c r="Q108" s="7">
        <f t="shared" ca="1" si="67"/>
        <v>0.30555555555555558</v>
      </c>
      <c r="R108" s="7">
        <f t="shared" ca="1" si="64"/>
        <v>0.58620689655172409</v>
      </c>
      <c r="S108" s="7">
        <f t="shared" ca="1" si="65"/>
        <v>0.41379310344827586</v>
      </c>
    </row>
    <row r="109" spans="1:19" x14ac:dyDescent="0.15">
      <c r="A109" s="60"/>
      <c r="B109" s="21" t="s">
        <v>22</v>
      </c>
      <c r="C109" s="21">
        <f>[62]PARS_syn_stat!B109</f>
        <v>17</v>
      </c>
      <c r="D109" s="21">
        <f>[62]PARS_syn_stat!C109</f>
        <v>11</v>
      </c>
      <c r="E109" s="22">
        <f t="shared" ref="E109:F109" si="108">C109/(C108+C109)</f>
        <v>0.42499999999999999</v>
      </c>
      <c r="F109" s="22">
        <f t="shared" si="108"/>
        <v>0.35483870967741937</v>
      </c>
      <c r="I109" s="60"/>
      <c r="J109" s="21" t="s">
        <v>22</v>
      </c>
      <c r="K109" s="22">
        <f t="shared" si="61"/>
        <v>0.42499999999999999</v>
      </c>
      <c r="L109" s="22">
        <f t="shared" si="61"/>
        <v>0.35483870967741937</v>
      </c>
      <c r="O109" s="21">
        <v>107</v>
      </c>
      <c r="P109" s="7">
        <f t="shared" ca="1" si="74"/>
        <v>0.71111111111111114</v>
      </c>
      <c r="Q109" s="7">
        <f t="shared" ca="1" si="67"/>
        <v>0.28888888888888886</v>
      </c>
      <c r="R109" s="7">
        <f t="shared" ca="1" si="64"/>
        <v>0.70833333333333337</v>
      </c>
      <c r="S109" s="7">
        <f t="shared" ca="1" si="65"/>
        <v>0.29166666666666669</v>
      </c>
    </row>
    <row r="110" spans="1:19" x14ac:dyDescent="0.15">
      <c r="A110" s="60">
        <v>55</v>
      </c>
      <c r="B110" s="21" t="s">
        <v>21</v>
      </c>
      <c r="C110" s="21">
        <f>[62]PARS_syn_stat!B110</f>
        <v>27</v>
      </c>
      <c r="D110" s="21">
        <f>[62]PARS_syn_stat!C110</f>
        <v>23</v>
      </c>
      <c r="E110" s="22">
        <f t="shared" ref="E110:F110" si="109">C110/(C110+C111)</f>
        <v>0.6428571428571429</v>
      </c>
      <c r="F110" s="22">
        <f t="shared" si="109"/>
        <v>0.63888888888888884</v>
      </c>
      <c r="I110" s="60">
        <v>55</v>
      </c>
      <c r="J110" s="21" t="s">
        <v>21</v>
      </c>
      <c r="K110" s="22">
        <f t="shared" si="61"/>
        <v>0.6428571428571429</v>
      </c>
      <c r="L110" s="22">
        <f t="shared" si="61"/>
        <v>0.63888888888888884</v>
      </c>
      <c r="O110" s="21">
        <v>108</v>
      </c>
      <c r="P110" s="7">
        <f t="shared" ca="1" si="74"/>
        <v>0.73529411764705888</v>
      </c>
      <c r="Q110" s="7">
        <f t="shared" ca="1" si="67"/>
        <v>0.26470588235294118</v>
      </c>
      <c r="R110" s="7">
        <f t="shared" ca="1" si="64"/>
        <v>0.63636363636363635</v>
      </c>
      <c r="S110" s="7">
        <f t="shared" ca="1" si="65"/>
        <v>0.36363636363636365</v>
      </c>
    </row>
    <row r="111" spans="1:19" x14ac:dyDescent="0.15">
      <c r="A111" s="60"/>
      <c r="B111" s="21" t="s">
        <v>22</v>
      </c>
      <c r="C111" s="21">
        <f>[62]PARS_syn_stat!B111</f>
        <v>15</v>
      </c>
      <c r="D111" s="21">
        <f>[62]PARS_syn_stat!C111</f>
        <v>13</v>
      </c>
      <c r="E111" s="22">
        <f t="shared" ref="E111:F111" si="110">C111/(C110+C111)</f>
        <v>0.35714285714285715</v>
      </c>
      <c r="F111" s="22">
        <f t="shared" si="110"/>
        <v>0.3611111111111111</v>
      </c>
      <c r="I111" s="60"/>
      <c r="J111" s="21" t="s">
        <v>22</v>
      </c>
      <c r="K111" s="22">
        <f t="shared" si="61"/>
        <v>0.35714285714285715</v>
      </c>
      <c r="L111" s="22">
        <f t="shared" si="61"/>
        <v>0.3611111111111111</v>
      </c>
      <c r="O111" s="21">
        <v>109</v>
      </c>
      <c r="P111" s="7">
        <f t="shared" ca="1" si="74"/>
        <v>0.56000000000000005</v>
      </c>
      <c r="Q111" s="7">
        <f t="shared" ca="1" si="67"/>
        <v>0.44</v>
      </c>
      <c r="R111" s="7">
        <f t="shared" ca="1" si="64"/>
        <v>0.56666666666666665</v>
      </c>
      <c r="S111" s="7">
        <f t="shared" ca="1" si="65"/>
        <v>0.43333333333333335</v>
      </c>
    </row>
    <row r="112" spans="1:19" x14ac:dyDescent="0.15">
      <c r="A112" s="60">
        <v>56</v>
      </c>
      <c r="B112" s="21" t="s">
        <v>21</v>
      </c>
      <c r="C112" s="21">
        <f>[62]PARS_syn_stat!B112</f>
        <v>23</v>
      </c>
      <c r="D112" s="21">
        <f>[62]PARS_syn_stat!C112</f>
        <v>21</v>
      </c>
      <c r="E112" s="22">
        <f t="shared" ref="E112:F112" si="111">C112/(C112+C113)</f>
        <v>0.6216216216216216</v>
      </c>
      <c r="F112" s="22">
        <f t="shared" si="111"/>
        <v>0.6</v>
      </c>
      <c r="I112" s="60">
        <v>56</v>
      </c>
      <c r="J112" s="21" t="s">
        <v>21</v>
      </c>
      <c r="K112" s="22">
        <f t="shared" si="61"/>
        <v>0.6216216216216216</v>
      </c>
      <c r="L112" s="22">
        <f t="shared" si="61"/>
        <v>0.6</v>
      </c>
      <c r="O112" s="21">
        <v>110</v>
      </c>
      <c r="P112" s="7">
        <f t="shared" ca="1" si="74"/>
        <v>0.51515151515151514</v>
      </c>
      <c r="Q112" s="7">
        <f t="shared" ca="1" si="67"/>
        <v>0.48484848484848486</v>
      </c>
      <c r="R112" s="7">
        <f t="shared" ca="1" si="64"/>
        <v>0.55172413793103448</v>
      </c>
      <c r="S112" s="7">
        <f t="shared" ca="1" si="65"/>
        <v>0.44827586206896552</v>
      </c>
    </row>
    <row r="113" spans="1:19" x14ac:dyDescent="0.15">
      <c r="A113" s="60"/>
      <c r="B113" s="21" t="s">
        <v>22</v>
      </c>
      <c r="C113" s="21">
        <f>[62]PARS_syn_stat!B113</f>
        <v>14</v>
      </c>
      <c r="D113" s="21">
        <f>[62]PARS_syn_stat!C113</f>
        <v>14</v>
      </c>
      <c r="E113" s="22">
        <f t="shared" ref="E113:F113" si="112">C113/(C112+C113)</f>
        <v>0.3783783783783784</v>
      </c>
      <c r="F113" s="22">
        <f t="shared" si="112"/>
        <v>0.4</v>
      </c>
      <c r="I113" s="60"/>
      <c r="J113" s="21" t="s">
        <v>22</v>
      </c>
      <c r="K113" s="22">
        <f t="shared" si="61"/>
        <v>0.3783783783783784</v>
      </c>
      <c r="L113" s="22">
        <f t="shared" si="61"/>
        <v>0.4</v>
      </c>
      <c r="O113" s="21">
        <v>111</v>
      </c>
      <c r="P113" s="7">
        <f t="shared" ca="1" si="74"/>
        <v>0.78</v>
      </c>
      <c r="Q113" s="7">
        <f t="shared" ca="1" si="67"/>
        <v>0.22</v>
      </c>
      <c r="R113" s="7">
        <f t="shared" ca="1" si="64"/>
        <v>0.56097560975609762</v>
      </c>
      <c r="S113" s="7">
        <f t="shared" ca="1" si="65"/>
        <v>0.43902439024390244</v>
      </c>
    </row>
    <row r="114" spans="1:19" x14ac:dyDescent="0.15">
      <c r="A114" s="60">
        <v>57</v>
      </c>
      <c r="B114" s="21" t="s">
        <v>21</v>
      </c>
      <c r="C114" s="21">
        <f>[62]PARS_syn_stat!B114</f>
        <v>21</v>
      </c>
      <c r="D114" s="21">
        <f>[62]PARS_syn_stat!C114</f>
        <v>13</v>
      </c>
      <c r="E114" s="22">
        <f t="shared" ref="E114:F114" si="113">C114/(C114+C115)</f>
        <v>0.63636363636363635</v>
      </c>
      <c r="F114" s="22">
        <f t="shared" si="113"/>
        <v>0.52</v>
      </c>
      <c r="I114" s="60">
        <v>57</v>
      </c>
      <c r="J114" s="21" t="s">
        <v>21</v>
      </c>
      <c r="K114" s="22">
        <f t="shared" si="61"/>
        <v>0.63636363636363635</v>
      </c>
      <c r="L114" s="22">
        <f t="shared" si="61"/>
        <v>0.52</v>
      </c>
      <c r="O114" s="21">
        <v>112</v>
      </c>
      <c r="P114" s="7">
        <f t="shared" ca="1" si="74"/>
        <v>0.65079365079365081</v>
      </c>
      <c r="Q114" s="7">
        <f t="shared" ca="1" si="67"/>
        <v>0.34920634920634919</v>
      </c>
      <c r="R114" s="7">
        <f t="shared" ca="1" si="64"/>
        <v>0.5</v>
      </c>
      <c r="S114" s="7">
        <f t="shared" ca="1" si="65"/>
        <v>0.5</v>
      </c>
    </row>
    <row r="115" spans="1:19" x14ac:dyDescent="0.15">
      <c r="A115" s="60"/>
      <c r="B115" s="21" t="s">
        <v>22</v>
      </c>
      <c r="C115" s="21">
        <f>[62]PARS_syn_stat!B115</f>
        <v>12</v>
      </c>
      <c r="D115" s="21">
        <f>[62]PARS_syn_stat!C115</f>
        <v>12</v>
      </c>
      <c r="E115" s="22">
        <f t="shared" ref="E115:F115" si="114">C115/(C114+C115)</f>
        <v>0.36363636363636365</v>
      </c>
      <c r="F115" s="22">
        <f t="shared" si="114"/>
        <v>0.48</v>
      </c>
      <c r="I115" s="60"/>
      <c r="J115" s="21" t="s">
        <v>22</v>
      </c>
      <c r="K115" s="22">
        <f t="shared" si="61"/>
        <v>0.36363636363636365</v>
      </c>
      <c r="L115" s="22">
        <f t="shared" si="61"/>
        <v>0.48</v>
      </c>
      <c r="O115" s="21">
        <v>113</v>
      </c>
      <c r="P115" s="7">
        <f t="shared" ca="1" si="74"/>
        <v>0.66</v>
      </c>
      <c r="Q115" s="7">
        <f t="shared" ca="1" si="67"/>
        <v>0.34</v>
      </c>
      <c r="R115" s="7">
        <f t="shared" ca="1" si="64"/>
        <v>0.70967741935483875</v>
      </c>
      <c r="S115" s="7">
        <f t="shared" ca="1" si="65"/>
        <v>0.29032258064516131</v>
      </c>
    </row>
    <row r="116" spans="1:19" x14ac:dyDescent="0.15">
      <c r="A116" s="60">
        <v>58</v>
      </c>
      <c r="B116" s="21" t="s">
        <v>21</v>
      </c>
      <c r="C116" s="21">
        <f>[62]PARS_syn_stat!B116</f>
        <v>25</v>
      </c>
      <c r="D116" s="21">
        <f>[62]PARS_syn_stat!C116</f>
        <v>12</v>
      </c>
      <c r="E116" s="22">
        <f t="shared" ref="E116:F116" si="115">C116/(C116+C117)</f>
        <v>0.59523809523809523</v>
      </c>
      <c r="F116" s="22">
        <f t="shared" si="115"/>
        <v>0.52173913043478259</v>
      </c>
      <c r="I116" s="60">
        <v>58</v>
      </c>
      <c r="J116" s="21" t="s">
        <v>21</v>
      </c>
      <c r="K116" s="22">
        <f t="shared" si="61"/>
        <v>0.59523809523809523</v>
      </c>
      <c r="L116" s="22">
        <f t="shared" si="61"/>
        <v>0.52173913043478259</v>
      </c>
      <c r="O116" s="21">
        <v>114</v>
      </c>
      <c r="P116" s="7">
        <f t="shared" ca="1" si="74"/>
        <v>0.62686567164179108</v>
      </c>
      <c r="Q116" s="7">
        <f t="shared" ca="1" si="67"/>
        <v>0.37313432835820898</v>
      </c>
      <c r="R116" s="7">
        <f t="shared" ca="1" si="64"/>
        <v>0.625</v>
      </c>
      <c r="S116" s="7">
        <f t="shared" ca="1" si="65"/>
        <v>0.375</v>
      </c>
    </row>
    <row r="117" spans="1:19" x14ac:dyDescent="0.15">
      <c r="A117" s="60"/>
      <c r="B117" s="21" t="s">
        <v>22</v>
      </c>
      <c r="C117" s="21">
        <f>[62]PARS_syn_stat!B117</f>
        <v>17</v>
      </c>
      <c r="D117" s="21">
        <f>[62]PARS_syn_stat!C117</f>
        <v>11</v>
      </c>
      <c r="E117" s="22">
        <f t="shared" ref="E117:F117" si="116">C117/(C116+C117)</f>
        <v>0.40476190476190477</v>
      </c>
      <c r="F117" s="22">
        <f t="shared" si="116"/>
        <v>0.47826086956521741</v>
      </c>
      <c r="I117" s="60"/>
      <c r="J117" s="21" t="s">
        <v>22</v>
      </c>
      <c r="K117" s="22">
        <f t="shared" si="61"/>
        <v>0.40476190476190477</v>
      </c>
      <c r="L117" s="22">
        <f t="shared" si="61"/>
        <v>0.47826086956521741</v>
      </c>
      <c r="O117" s="21">
        <v>115</v>
      </c>
      <c r="P117" s="7">
        <f t="shared" ca="1" si="74"/>
        <v>0.6428571428571429</v>
      </c>
      <c r="Q117" s="7">
        <f t="shared" ca="1" si="67"/>
        <v>0.35714285714285715</v>
      </c>
      <c r="R117" s="7">
        <f t="shared" ca="1" si="64"/>
        <v>0.51111111111111107</v>
      </c>
      <c r="S117" s="7">
        <f t="shared" ca="1" si="65"/>
        <v>0.48888888888888887</v>
      </c>
    </row>
    <row r="118" spans="1:19" x14ac:dyDescent="0.15">
      <c r="A118" s="60">
        <v>59</v>
      </c>
      <c r="B118" s="21" t="s">
        <v>21</v>
      </c>
      <c r="C118" s="21">
        <f>[62]PARS_syn_stat!B118</f>
        <v>20</v>
      </c>
      <c r="D118" s="21">
        <f>[62]PARS_syn_stat!C118</f>
        <v>16</v>
      </c>
      <c r="E118" s="22">
        <f t="shared" ref="E118:F118" si="117">C118/(C118+C119)</f>
        <v>0.58823529411764708</v>
      </c>
      <c r="F118" s="22">
        <f t="shared" si="117"/>
        <v>0.61538461538461542</v>
      </c>
      <c r="I118" s="60">
        <v>59</v>
      </c>
      <c r="J118" s="21" t="s">
        <v>21</v>
      </c>
      <c r="K118" s="22">
        <f t="shared" si="61"/>
        <v>0.58823529411764708</v>
      </c>
      <c r="L118" s="22">
        <f t="shared" si="61"/>
        <v>0.61538461538461542</v>
      </c>
      <c r="O118" s="21">
        <v>116</v>
      </c>
      <c r="P118" s="7">
        <f t="shared" ca="1" si="74"/>
        <v>0.55263157894736847</v>
      </c>
      <c r="Q118" s="7">
        <f t="shared" ca="1" si="67"/>
        <v>0.44736842105263158</v>
      </c>
      <c r="R118" s="7">
        <f t="shared" ca="1" si="64"/>
        <v>0.62857142857142856</v>
      </c>
      <c r="S118" s="7">
        <f t="shared" ca="1" si="65"/>
        <v>0.37142857142857144</v>
      </c>
    </row>
    <row r="119" spans="1:19" x14ac:dyDescent="0.15">
      <c r="A119" s="60"/>
      <c r="B119" s="21" t="s">
        <v>22</v>
      </c>
      <c r="C119" s="21">
        <f>[62]PARS_syn_stat!B119</f>
        <v>14</v>
      </c>
      <c r="D119" s="21">
        <f>[62]PARS_syn_stat!C119</f>
        <v>10</v>
      </c>
      <c r="E119" s="22">
        <f t="shared" ref="E119:F119" si="118">C119/(C118+C119)</f>
        <v>0.41176470588235292</v>
      </c>
      <c r="F119" s="22">
        <f t="shared" si="118"/>
        <v>0.38461538461538464</v>
      </c>
      <c r="I119" s="60"/>
      <c r="J119" s="21" t="s">
        <v>22</v>
      </c>
      <c r="K119" s="22">
        <f t="shared" si="61"/>
        <v>0.41176470588235292</v>
      </c>
      <c r="L119" s="22">
        <f t="shared" si="61"/>
        <v>0.38461538461538464</v>
      </c>
      <c r="O119" s="21">
        <v>117</v>
      </c>
      <c r="P119" s="7">
        <f t="shared" ca="1" si="74"/>
        <v>0.640625</v>
      </c>
      <c r="Q119" s="7">
        <f t="shared" ca="1" si="67"/>
        <v>0.359375</v>
      </c>
      <c r="R119" s="7">
        <f t="shared" ca="1" si="64"/>
        <v>0.52272727272727271</v>
      </c>
      <c r="S119" s="7">
        <f t="shared" ca="1" si="65"/>
        <v>0.47727272727272729</v>
      </c>
    </row>
    <row r="120" spans="1:19" x14ac:dyDescent="0.15">
      <c r="A120" s="60">
        <v>60</v>
      </c>
      <c r="B120" s="21" t="s">
        <v>21</v>
      </c>
      <c r="C120" s="21">
        <f>[62]PARS_syn_stat!B120</f>
        <v>21</v>
      </c>
      <c r="D120" s="21">
        <f>[62]PARS_syn_stat!C120</f>
        <v>17</v>
      </c>
      <c r="E120" s="22">
        <f t="shared" ref="E120:F120" si="119">C120/(C120+C121)</f>
        <v>0.65625</v>
      </c>
      <c r="F120" s="22">
        <f t="shared" si="119"/>
        <v>0.56666666666666665</v>
      </c>
      <c r="I120" s="60">
        <v>60</v>
      </c>
      <c r="J120" s="21" t="s">
        <v>21</v>
      </c>
      <c r="K120" s="22">
        <f t="shared" si="61"/>
        <v>0.65625</v>
      </c>
      <c r="L120" s="22">
        <f t="shared" si="61"/>
        <v>0.56666666666666665</v>
      </c>
      <c r="O120" s="21">
        <v>118</v>
      </c>
      <c r="P120" s="7">
        <f t="shared" ca="1" si="74"/>
        <v>0.66666666666666663</v>
      </c>
      <c r="Q120" s="7">
        <f t="shared" ca="1" si="67"/>
        <v>0.33333333333333331</v>
      </c>
      <c r="R120" s="7">
        <f t="shared" ca="1" si="64"/>
        <v>0.62790697674418605</v>
      </c>
      <c r="S120" s="7">
        <f t="shared" ca="1" si="65"/>
        <v>0.37209302325581395</v>
      </c>
    </row>
    <row r="121" spans="1:19" x14ac:dyDescent="0.15">
      <c r="A121" s="60"/>
      <c r="B121" s="21" t="s">
        <v>22</v>
      </c>
      <c r="C121" s="21">
        <f>[62]PARS_syn_stat!B121</f>
        <v>11</v>
      </c>
      <c r="D121" s="21">
        <f>[62]PARS_syn_stat!C121</f>
        <v>13</v>
      </c>
      <c r="E121" s="22">
        <f t="shared" ref="E121:F121" si="120">C121/(C120+C121)</f>
        <v>0.34375</v>
      </c>
      <c r="F121" s="22">
        <f t="shared" si="120"/>
        <v>0.43333333333333335</v>
      </c>
      <c r="I121" s="60"/>
      <c r="J121" s="21" t="s">
        <v>22</v>
      </c>
      <c r="K121" s="22">
        <f t="shared" si="61"/>
        <v>0.34375</v>
      </c>
      <c r="L121" s="22">
        <f t="shared" si="61"/>
        <v>0.43333333333333335</v>
      </c>
      <c r="O121" s="21">
        <v>119</v>
      </c>
      <c r="P121" s="7">
        <f t="shared" ca="1" si="74"/>
        <v>0.66666666666666663</v>
      </c>
      <c r="Q121" s="7">
        <f t="shared" ca="1" si="67"/>
        <v>0.33333333333333331</v>
      </c>
      <c r="R121" s="7">
        <f t="shared" ca="1" si="64"/>
        <v>0.56818181818181823</v>
      </c>
      <c r="S121" s="7">
        <f t="shared" ca="1" si="65"/>
        <v>0.43181818181818182</v>
      </c>
    </row>
    <row r="122" spans="1:19" x14ac:dyDescent="0.15">
      <c r="A122" s="60">
        <v>61</v>
      </c>
      <c r="B122" s="21" t="s">
        <v>21</v>
      </c>
      <c r="C122" s="21">
        <f>[62]PARS_syn_stat!B122</f>
        <v>14</v>
      </c>
      <c r="D122" s="21">
        <f>[62]PARS_syn_stat!C122</f>
        <v>10</v>
      </c>
      <c r="E122" s="22">
        <f t="shared" ref="E122:F122" si="121">C122/(C122+C123)</f>
        <v>0.4375</v>
      </c>
      <c r="F122" s="22">
        <f t="shared" si="121"/>
        <v>0.41666666666666669</v>
      </c>
      <c r="I122" s="60">
        <v>61</v>
      </c>
      <c r="J122" s="21" t="s">
        <v>21</v>
      </c>
      <c r="K122" s="22">
        <f t="shared" si="61"/>
        <v>0.4375</v>
      </c>
      <c r="L122" s="22">
        <f t="shared" si="61"/>
        <v>0.41666666666666669</v>
      </c>
      <c r="O122" s="21">
        <v>120</v>
      </c>
      <c r="P122" s="7">
        <f t="shared" ca="1" si="74"/>
        <v>0.67346938775510201</v>
      </c>
      <c r="Q122" s="7">
        <f t="shared" ca="1" si="67"/>
        <v>0.32653061224489793</v>
      </c>
      <c r="R122" s="7">
        <f t="shared" ca="1" si="64"/>
        <v>0.48484848484848486</v>
      </c>
      <c r="S122" s="7">
        <f t="shared" ca="1" si="65"/>
        <v>0.51515151515151514</v>
      </c>
    </row>
    <row r="123" spans="1:19" x14ac:dyDescent="0.15">
      <c r="A123" s="60"/>
      <c r="B123" s="21" t="s">
        <v>22</v>
      </c>
      <c r="C123" s="21">
        <f>[62]PARS_syn_stat!B123</f>
        <v>18</v>
      </c>
      <c r="D123" s="21">
        <f>[62]PARS_syn_stat!C123</f>
        <v>14</v>
      </c>
      <c r="E123" s="22">
        <f t="shared" ref="E123:F123" si="122">C123/(C122+C123)</f>
        <v>0.5625</v>
      </c>
      <c r="F123" s="22">
        <f t="shared" si="122"/>
        <v>0.58333333333333337</v>
      </c>
      <c r="I123" s="60"/>
      <c r="J123" s="21" t="s">
        <v>22</v>
      </c>
      <c r="K123" s="22">
        <f t="shared" si="61"/>
        <v>0.5625</v>
      </c>
      <c r="L123" s="22">
        <f t="shared" si="61"/>
        <v>0.58333333333333337</v>
      </c>
      <c r="O123" s="21">
        <v>121</v>
      </c>
      <c r="P123" s="7">
        <f t="shared" ca="1" si="74"/>
        <v>0.58823529411764708</v>
      </c>
      <c r="Q123" s="7">
        <f t="shared" ca="1" si="67"/>
        <v>0.41176470588235292</v>
      </c>
      <c r="R123" s="7">
        <f t="shared" ca="1" si="64"/>
        <v>0.54054054054054057</v>
      </c>
      <c r="S123" s="7">
        <f t="shared" ca="1" si="65"/>
        <v>0.45945945945945948</v>
      </c>
    </row>
    <row r="124" spans="1:19" x14ac:dyDescent="0.15">
      <c r="A124" s="60">
        <v>62</v>
      </c>
      <c r="B124" s="21" t="s">
        <v>21</v>
      </c>
      <c r="C124" s="21">
        <f>[62]PARS_syn_stat!B124</f>
        <v>24</v>
      </c>
      <c r="D124" s="21">
        <f>[62]PARS_syn_stat!C124</f>
        <v>15</v>
      </c>
      <c r="E124" s="22">
        <f t="shared" ref="E124:F124" si="123">C124/(C124+C125)</f>
        <v>0.66666666666666663</v>
      </c>
      <c r="F124" s="22">
        <f t="shared" si="123"/>
        <v>0.5357142857142857</v>
      </c>
      <c r="I124" s="60">
        <v>62</v>
      </c>
      <c r="J124" s="21" t="s">
        <v>21</v>
      </c>
      <c r="K124" s="22">
        <f t="shared" si="61"/>
        <v>0.66666666666666663</v>
      </c>
      <c r="L124" s="22">
        <f t="shared" si="61"/>
        <v>0.5357142857142857</v>
      </c>
      <c r="O124" s="21">
        <v>122</v>
      </c>
      <c r="P124" s="7">
        <f t="shared" ca="1" si="74"/>
        <v>0.66666666666666663</v>
      </c>
      <c r="Q124" s="7">
        <f t="shared" ca="1" si="67"/>
        <v>0.33333333333333331</v>
      </c>
      <c r="R124" s="7">
        <f t="shared" ca="1" si="64"/>
        <v>0.58490566037735847</v>
      </c>
      <c r="S124" s="7">
        <f t="shared" ca="1" si="65"/>
        <v>0.41509433962264153</v>
      </c>
    </row>
    <row r="125" spans="1:19" x14ac:dyDescent="0.15">
      <c r="A125" s="60"/>
      <c r="B125" s="21" t="s">
        <v>22</v>
      </c>
      <c r="C125" s="21">
        <f>[62]PARS_syn_stat!B125</f>
        <v>12</v>
      </c>
      <c r="D125" s="21">
        <f>[62]PARS_syn_stat!C125</f>
        <v>13</v>
      </c>
      <c r="E125" s="22">
        <f t="shared" ref="E125:F125" si="124">C125/(C124+C125)</f>
        <v>0.33333333333333331</v>
      </c>
      <c r="F125" s="22">
        <f t="shared" si="124"/>
        <v>0.4642857142857143</v>
      </c>
      <c r="I125" s="60"/>
      <c r="J125" s="21" t="s">
        <v>22</v>
      </c>
      <c r="K125" s="22">
        <f t="shared" si="61"/>
        <v>0.33333333333333331</v>
      </c>
      <c r="L125" s="22">
        <f t="shared" si="61"/>
        <v>0.4642857142857143</v>
      </c>
      <c r="O125" s="21">
        <v>123</v>
      </c>
      <c r="P125" s="7">
        <f t="shared" ca="1" si="74"/>
        <v>0.61052631578947369</v>
      </c>
      <c r="Q125" s="7">
        <f t="shared" ca="1" si="67"/>
        <v>0.38947368421052631</v>
      </c>
      <c r="R125" s="7">
        <f t="shared" ca="1" si="64"/>
        <v>0.44680851063829785</v>
      </c>
      <c r="S125" s="7">
        <f t="shared" ca="1" si="65"/>
        <v>0.55319148936170215</v>
      </c>
    </row>
    <row r="126" spans="1:19" x14ac:dyDescent="0.15">
      <c r="A126" s="60">
        <v>63</v>
      </c>
      <c r="B126" s="21" t="s">
        <v>21</v>
      </c>
      <c r="C126" s="21">
        <f>[62]PARS_syn_stat!B126</f>
        <v>16</v>
      </c>
      <c r="D126" s="21">
        <f>[62]PARS_syn_stat!C126</f>
        <v>21</v>
      </c>
      <c r="E126" s="22">
        <f t="shared" ref="E126:F126" si="125">C126/(C126+C127)</f>
        <v>0.55172413793103448</v>
      </c>
      <c r="F126" s="22">
        <f t="shared" si="125"/>
        <v>0.63636363636363635</v>
      </c>
      <c r="I126" s="60">
        <v>63</v>
      </c>
      <c r="J126" s="21" t="s">
        <v>21</v>
      </c>
      <c r="K126" s="22">
        <f t="shared" si="61"/>
        <v>0.55172413793103448</v>
      </c>
      <c r="L126" s="22">
        <f t="shared" si="61"/>
        <v>0.63636363636363635</v>
      </c>
      <c r="O126" s="21">
        <v>124</v>
      </c>
      <c r="P126" s="7">
        <f t="shared" ca="1" si="74"/>
        <v>0.65486725663716816</v>
      </c>
      <c r="Q126" s="7">
        <f t="shared" ca="1" si="67"/>
        <v>0.34513274336283184</v>
      </c>
      <c r="R126" s="7">
        <f t="shared" ca="1" si="64"/>
        <v>0.72</v>
      </c>
      <c r="S126" s="7">
        <f t="shared" ca="1" si="65"/>
        <v>0.28000000000000003</v>
      </c>
    </row>
    <row r="127" spans="1:19" x14ac:dyDescent="0.15">
      <c r="A127" s="60"/>
      <c r="B127" s="21" t="s">
        <v>22</v>
      </c>
      <c r="C127" s="21">
        <f>[62]PARS_syn_stat!B127</f>
        <v>13</v>
      </c>
      <c r="D127" s="21">
        <f>[62]PARS_syn_stat!C127</f>
        <v>12</v>
      </c>
      <c r="E127" s="22">
        <f t="shared" ref="E127:F127" si="126">C127/(C126+C127)</f>
        <v>0.44827586206896552</v>
      </c>
      <c r="F127" s="22">
        <f t="shared" si="126"/>
        <v>0.36363636363636365</v>
      </c>
      <c r="I127" s="60"/>
      <c r="J127" s="21" t="s">
        <v>22</v>
      </c>
      <c r="K127" s="22">
        <f t="shared" si="61"/>
        <v>0.44827586206896552</v>
      </c>
      <c r="L127" s="22">
        <f t="shared" si="61"/>
        <v>0.36363636363636365</v>
      </c>
      <c r="O127" s="21">
        <v>125</v>
      </c>
      <c r="P127" s="7">
        <f t="shared" ca="1" si="74"/>
        <v>0.58888888888888891</v>
      </c>
      <c r="Q127" s="7">
        <f t="shared" ca="1" si="67"/>
        <v>0.41111111111111109</v>
      </c>
      <c r="R127" s="7">
        <f t="shared" ca="1" si="64"/>
        <v>0.5855855855855856</v>
      </c>
      <c r="S127" s="7">
        <f t="shared" ca="1" si="65"/>
        <v>0.4144144144144144</v>
      </c>
    </row>
    <row r="128" spans="1:19" x14ac:dyDescent="0.15">
      <c r="A128" s="60">
        <v>64</v>
      </c>
      <c r="B128" s="21" t="s">
        <v>21</v>
      </c>
      <c r="C128" s="21">
        <f>[62]PARS_syn_stat!B128</f>
        <v>29</v>
      </c>
      <c r="D128" s="21">
        <f>[62]PARS_syn_stat!C128</f>
        <v>21</v>
      </c>
      <c r="E128" s="22">
        <f t="shared" ref="E128:F128" si="127">C128/(C128+C129)</f>
        <v>0.76315789473684215</v>
      </c>
      <c r="F128" s="22">
        <f t="shared" si="127"/>
        <v>0.56756756756756754</v>
      </c>
      <c r="I128" s="60">
        <v>64</v>
      </c>
      <c r="J128" s="21" t="s">
        <v>21</v>
      </c>
      <c r="K128" s="22">
        <f t="shared" si="61"/>
        <v>0.76315789473684215</v>
      </c>
      <c r="L128" s="22">
        <f t="shared" si="61"/>
        <v>0.56756756756756754</v>
      </c>
      <c r="O128" s="21">
        <v>126</v>
      </c>
      <c r="P128" s="7">
        <f t="shared" ca="1" si="74"/>
        <v>0.64903846153846156</v>
      </c>
      <c r="Q128" s="7">
        <f t="shared" ca="1" si="67"/>
        <v>0.35096153846153844</v>
      </c>
      <c r="R128" s="7">
        <f t="shared" ca="1" si="64"/>
        <v>0.52222222222222225</v>
      </c>
      <c r="S128" s="7">
        <f t="shared" ca="1" si="65"/>
        <v>0.4777777777777778</v>
      </c>
    </row>
    <row r="129" spans="1:19" x14ac:dyDescent="0.15">
      <c r="A129" s="60"/>
      <c r="B129" s="21" t="s">
        <v>22</v>
      </c>
      <c r="C129" s="21">
        <f>[62]PARS_syn_stat!B129</f>
        <v>9</v>
      </c>
      <c r="D129" s="21">
        <f>[62]PARS_syn_stat!C129</f>
        <v>16</v>
      </c>
      <c r="E129" s="22">
        <f t="shared" ref="E129:F129" si="128">C129/(C128+C129)</f>
        <v>0.23684210526315788</v>
      </c>
      <c r="F129" s="22">
        <f t="shared" si="128"/>
        <v>0.43243243243243246</v>
      </c>
      <c r="I129" s="60"/>
      <c r="J129" s="21" t="s">
        <v>22</v>
      </c>
      <c r="K129" s="22">
        <f t="shared" si="61"/>
        <v>0.23684210526315788</v>
      </c>
      <c r="L129" s="22">
        <f t="shared" si="61"/>
        <v>0.43243243243243246</v>
      </c>
      <c r="O129" s="21">
        <v>127</v>
      </c>
      <c r="P129" s="7">
        <f t="shared" ca="1" si="74"/>
        <v>0.63314711359404097</v>
      </c>
      <c r="Q129" s="7">
        <f t="shared" ca="1" si="67"/>
        <v>0.36685288640595903</v>
      </c>
      <c r="R129" s="7">
        <f t="shared" ca="1" si="64"/>
        <v>0.57863501483679525</v>
      </c>
      <c r="S129" s="7">
        <f t="shared" ca="1" si="65"/>
        <v>0.42136498516320475</v>
      </c>
    </row>
    <row r="130" spans="1:19" x14ac:dyDescent="0.15">
      <c r="A130" s="60">
        <v>65</v>
      </c>
      <c r="B130" s="21" t="s">
        <v>21</v>
      </c>
      <c r="C130" s="21">
        <f>[62]PARS_syn_stat!B130</f>
        <v>32</v>
      </c>
      <c r="D130" s="21">
        <f>[62]PARS_syn_stat!C130</f>
        <v>19</v>
      </c>
      <c r="E130" s="22">
        <f t="shared" ref="E130:F130" si="129">C130/(C130+C131)</f>
        <v>0.66666666666666663</v>
      </c>
      <c r="F130" s="22">
        <f t="shared" si="129"/>
        <v>0.6333333333333333</v>
      </c>
      <c r="I130" s="60">
        <v>65</v>
      </c>
      <c r="J130" s="21" t="s">
        <v>21</v>
      </c>
      <c r="K130" s="22">
        <f t="shared" ref="K130:L193" si="130">E130</f>
        <v>0.66666666666666663</v>
      </c>
      <c r="L130" s="22">
        <f t="shared" si="130"/>
        <v>0.6333333333333333</v>
      </c>
    </row>
    <row r="131" spans="1:19" x14ac:dyDescent="0.15">
      <c r="A131" s="60"/>
      <c r="B131" s="21" t="s">
        <v>22</v>
      </c>
      <c r="C131" s="21">
        <f>[62]PARS_syn_stat!B131</f>
        <v>16</v>
      </c>
      <c r="D131" s="21">
        <f>[62]PARS_syn_stat!C131</f>
        <v>11</v>
      </c>
      <c r="E131" s="22">
        <f t="shared" ref="E131:F131" si="131">C131/(C130+C131)</f>
        <v>0.33333333333333331</v>
      </c>
      <c r="F131" s="22">
        <f t="shared" si="131"/>
        <v>0.36666666666666664</v>
      </c>
      <c r="I131" s="60"/>
      <c r="J131" s="21" t="s">
        <v>22</v>
      </c>
      <c r="K131" s="22">
        <f t="shared" si="130"/>
        <v>0.33333333333333331</v>
      </c>
      <c r="L131" s="22">
        <f t="shared" si="130"/>
        <v>0.36666666666666664</v>
      </c>
    </row>
    <row r="132" spans="1:19" x14ac:dyDescent="0.15">
      <c r="A132" s="60">
        <v>66</v>
      </c>
      <c r="B132" s="21" t="s">
        <v>21</v>
      </c>
      <c r="C132" s="21">
        <f>[62]PARS_syn_stat!B132</f>
        <v>19</v>
      </c>
      <c r="D132" s="21">
        <f>[62]PARS_syn_stat!C132</f>
        <v>12</v>
      </c>
      <c r="E132" s="22">
        <f t="shared" ref="E132:F132" si="132">C132/(C132+C133)</f>
        <v>0.55882352941176472</v>
      </c>
      <c r="F132" s="22">
        <f t="shared" si="132"/>
        <v>0.38709677419354838</v>
      </c>
      <c r="I132" s="60">
        <v>66</v>
      </c>
      <c r="J132" s="21" t="s">
        <v>21</v>
      </c>
      <c r="K132" s="22">
        <f t="shared" si="130"/>
        <v>0.55882352941176472</v>
      </c>
      <c r="L132" s="22">
        <f t="shared" si="130"/>
        <v>0.38709677419354838</v>
      </c>
    </row>
    <row r="133" spans="1:19" x14ac:dyDescent="0.15">
      <c r="A133" s="60"/>
      <c r="B133" s="21" t="s">
        <v>22</v>
      </c>
      <c r="C133" s="21">
        <f>[62]PARS_syn_stat!B133</f>
        <v>15</v>
      </c>
      <c r="D133" s="21">
        <f>[62]PARS_syn_stat!C133</f>
        <v>19</v>
      </c>
      <c r="E133" s="22">
        <f t="shared" ref="E133:F133" si="133">C133/(C132+C133)</f>
        <v>0.44117647058823528</v>
      </c>
      <c r="F133" s="22">
        <f t="shared" si="133"/>
        <v>0.61290322580645162</v>
      </c>
      <c r="I133" s="60"/>
      <c r="J133" s="21" t="s">
        <v>22</v>
      </c>
      <c r="K133" s="22">
        <f t="shared" si="130"/>
        <v>0.44117647058823528</v>
      </c>
      <c r="L133" s="22">
        <f t="shared" si="130"/>
        <v>0.61290322580645162</v>
      </c>
      <c r="P133" s="24"/>
      <c r="Q133" s="24"/>
      <c r="R133" s="24"/>
      <c r="S133" s="24"/>
    </row>
    <row r="134" spans="1:19" x14ac:dyDescent="0.15">
      <c r="A134" s="60">
        <v>67</v>
      </c>
      <c r="B134" s="21" t="s">
        <v>21</v>
      </c>
      <c r="C134" s="21">
        <f>[62]PARS_syn_stat!B134</f>
        <v>22</v>
      </c>
      <c r="D134" s="21">
        <f>[62]PARS_syn_stat!C134</f>
        <v>15</v>
      </c>
      <c r="E134" s="22">
        <f t="shared" ref="E134:F134" si="134">C134/(C134+C135)</f>
        <v>0.55000000000000004</v>
      </c>
      <c r="F134" s="22">
        <f t="shared" si="134"/>
        <v>0.55555555555555558</v>
      </c>
      <c r="I134" s="60">
        <v>67</v>
      </c>
      <c r="J134" s="21" t="s">
        <v>21</v>
      </c>
      <c r="K134" s="22">
        <f t="shared" si="130"/>
        <v>0.55000000000000004</v>
      </c>
      <c r="L134" s="22">
        <f t="shared" si="130"/>
        <v>0.55555555555555558</v>
      </c>
      <c r="P134" s="24"/>
      <c r="Q134" s="24"/>
      <c r="R134" s="24"/>
      <c r="S134" s="24"/>
    </row>
    <row r="135" spans="1:19" x14ac:dyDescent="0.15">
      <c r="A135" s="60"/>
      <c r="B135" s="21" t="s">
        <v>22</v>
      </c>
      <c r="C135" s="21">
        <f>[62]PARS_syn_stat!B135</f>
        <v>18</v>
      </c>
      <c r="D135" s="21">
        <f>[62]PARS_syn_stat!C135</f>
        <v>12</v>
      </c>
      <c r="E135" s="22">
        <f t="shared" ref="E135:F135" si="135">C135/(C134+C135)</f>
        <v>0.45</v>
      </c>
      <c r="F135" s="22">
        <f t="shared" si="135"/>
        <v>0.44444444444444442</v>
      </c>
      <c r="I135" s="60"/>
      <c r="J135" s="21" t="s">
        <v>22</v>
      </c>
      <c r="K135" s="22">
        <f t="shared" si="130"/>
        <v>0.45</v>
      </c>
      <c r="L135" s="22">
        <f t="shared" si="130"/>
        <v>0.44444444444444442</v>
      </c>
      <c r="P135" s="24"/>
      <c r="Q135" s="24"/>
      <c r="R135" s="24"/>
      <c r="S135" s="24"/>
    </row>
    <row r="136" spans="1:19" x14ac:dyDescent="0.15">
      <c r="A136" s="60">
        <v>68</v>
      </c>
      <c r="B136" s="21" t="s">
        <v>21</v>
      </c>
      <c r="C136" s="21">
        <f>[62]PARS_syn_stat!B136</f>
        <v>14</v>
      </c>
      <c r="D136" s="21">
        <f>[62]PARS_syn_stat!C136</f>
        <v>9</v>
      </c>
      <c r="E136" s="22">
        <f t="shared" ref="E136:F136" si="136">C136/(C136+C137)</f>
        <v>0.5</v>
      </c>
      <c r="F136" s="22">
        <f t="shared" si="136"/>
        <v>0.47368421052631576</v>
      </c>
      <c r="I136" s="60">
        <v>68</v>
      </c>
      <c r="J136" s="21" t="s">
        <v>21</v>
      </c>
      <c r="K136" s="22">
        <f t="shared" si="130"/>
        <v>0.5</v>
      </c>
      <c r="L136" s="22">
        <f t="shared" si="130"/>
        <v>0.47368421052631576</v>
      </c>
      <c r="P136" s="24"/>
      <c r="Q136" s="24"/>
      <c r="R136" s="24"/>
      <c r="S136" s="24"/>
    </row>
    <row r="137" spans="1:19" x14ac:dyDescent="0.15">
      <c r="A137" s="60"/>
      <c r="B137" s="21" t="s">
        <v>22</v>
      </c>
      <c r="C137" s="21">
        <f>[62]PARS_syn_stat!B137</f>
        <v>14</v>
      </c>
      <c r="D137" s="21">
        <f>[62]PARS_syn_stat!C137</f>
        <v>10</v>
      </c>
      <c r="E137" s="22">
        <f t="shared" ref="E137:F137" si="137">C137/(C136+C137)</f>
        <v>0.5</v>
      </c>
      <c r="F137" s="22">
        <f t="shared" si="137"/>
        <v>0.52631578947368418</v>
      </c>
      <c r="I137" s="60"/>
      <c r="J137" s="21" t="s">
        <v>22</v>
      </c>
      <c r="K137" s="22">
        <f t="shared" si="130"/>
        <v>0.5</v>
      </c>
      <c r="L137" s="22">
        <f t="shared" si="130"/>
        <v>0.52631578947368418</v>
      </c>
      <c r="P137" s="24"/>
      <c r="Q137" s="24"/>
      <c r="R137" s="24"/>
      <c r="S137" s="24"/>
    </row>
    <row r="138" spans="1:19" x14ac:dyDescent="0.15">
      <c r="A138" s="60">
        <v>69</v>
      </c>
      <c r="B138" s="21" t="s">
        <v>21</v>
      </c>
      <c r="C138" s="21">
        <f>[62]PARS_syn_stat!B138</f>
        <v>25</v>
      </c>
      <c r="D138" s="21">
        <f>[62]PARS_syn_stat!C138</f>
        <v>12</v>
      </c>
      <c r="E138" s="22">
        <f t="shared" ref="E138:F138" si="138">C138/(C138+C139)</f>
        <v>0.67567567567567566</v>
      </c>
      <c r="F138" s="22">
        <f t="shared" si="138"/>
        <v>0.63157894736842102</v>
      </c>
      <c r="I138" s="60">
        <v>69</v>
      </c>
      <c r="J138" s="21" t="s">
        <v>21</v>
      </c>
      <c r="K138" s="22">
        <f t="shared" si="130"/>
        <v>0.67567567567567566</v>
      </c>
      <c r="L138" s="22">
        <f t="shared" si="130"/>
        <v>0.63157894736842102</v>
      </c>
      <c r="P138" s="24"/>
      <c r="Q138" s="24"/>
      <c r="R138" s="24"/>
      <c r="S138" s="24"/>
    </row>
    <row r="139" spans="1:19" x14ac:dyDescent="0.15">
      <c r="A139" s="60"/>
      <c r="B139" s="21" t="s">
        <v>22</v>
      </c>
      <c r="C139" s="21">
        <f>[62]PARS_syn_stat!B139</f>
        <v>12</v>
      </c>
      <c r="D139" s="21">
        <f>[62]PARS_syn_stat!C139</f>
        <v>7</v>
      </c>
      <c r="E139" s="22">
        <f t="shared" ref="E139:F139" si="139">C139/(C138+C139)</f>
        <v>0.32432432432432434</v>
      </c>
      <c r="F139" s="22">
        <f t="shared" si="139"/>
        <v>0.36842105263157893</v>
      </c>
      <c r="I139" s="60"/>
      <c r="J139" s="21" t="s">
        <v>22</v>
      </c>
      <c r="K139" s="22">
        <f t="shared" si="130"/>
        <v>0.32432432432432434</v>
      </c>
      <c r="L139" s="22">
        <f t="shared" si="130"/>
        <v>0.36842105263157893</v>
      </c>
      <c r="P139" s="24"/>
      <c r="Q139" s="24"/>
      <c r="R139" s="24"/>
      <c r="S139" s="24"/>
    </row>
    <row r="140" spans="1:19" x14ac:dyDescent="0.15">
      <c r="A140" s="60">
        <v>70</v>
      </c>
      <c r="B140" s="21" t="s">
        <v>21</v>
      </c>
      <c r="C140" s="21">
        <f>[62]PARS_syn_stat!B140</f>
        <v>26</v>
      </c>
      <c r="D140" s="21">
        <f>[62]PARS_syn_stat!C140</f>
        <v>13</v>
      </c>
      <c r="E140" s="22">
        <f t="shared" ref="E140:F140" si="140">C140/(C140+C141)</f>
        <v>0.70270270270270274</v>
      </c>
      <c r="F140" s="22">
        <f t="shared" si="140"/>
        <v>0.52</v>
      </c>
      <c r="I140" s="60">
        <v>70</v>
      </c>
      <c r="J140" s="21" t="s">
        <v>21</v>
      </c>
      <c r="K140" s="22">
        <f t="shared" si="130"/>
        <v>0.70270270270270274</v>
      </c>
      <c r="L140" s="22">
        <f t="shared" si="130"/>
        <v>0.52</v>
      </c>
      <c r="P140" s="24"/>
      <c r="Q140" s="24"/>
      <c r="R140" s="24"/>
      <c r="S140" s="24"/>
    </row>
    <row r="141" spans="1:19" x14ac:dyDescent="0.15">
      <c r="A141" s="60"/>
      <c r="B141" s="21" t="s">
        <v>22</v>
      </c>
      <c r="C141" s="21">
        <f>[62]PARS_syn_stat!B141</f>
        <v>11</v>
      </c>
      <c r="D141" s="21">
        <f>[62]PARS_syn_stat!C141</f>
        <v>12</v>
      </c>
      <c r="E141" s="22">
        <f t="shared" ref="E141:F141" si="141">C141/(C140+C141)</f>
        <v>0.29729729729729731</v>
      </c>
      <c r="F141" s="22">
        <f t="shared" si="141"/>
        <v>0.48</v>
      </c>
      <c r="I141" s="60"/>
      <c r="J141" s="21" t="s">
        <v>22</v>
      </c>
      <c r="K141" s="22">
        <f t="shared" si="130"/>
        <v>0.29729729729729731</v>
      </c>
      <c r="L141" s="22">
        <f t="shared" si="130"/>
        <v>0.48</v>
      </c>
      <c r="P141" s="24"/>
      <c r="Q141" s="24"/>
      <c r="R141" s="24"/>
      <c r="S141" s="24"/>
    </row>
    <row r="142" spans="1:19" x14ac:dyDescent="0.15">
      <c r="A142" s="60">
        <v>71</v>
      </c>
      <c r="B142" s="21" t="s">
        <v>21</v>
      </c>
      <c r="C142" s="21">
        <f>[62]PARS_syn_stat!B142</f>
        <v>21</v>
      </c>
      <c r="D142" s="21">
        <f>[62]PARS_syn_stat!C142</f>
        <v>8</v>
      </c>
      <c r="E142" s="22">
        <f t="shared" ref="E142:F142" si="142">C142/(C142+C143)</f>
        <v>0.65625</v>
      </c>
      <c r="F142" s="22">
        <f t="shared" si="142"/>
        <v>0.42105263157894735</v>
      </c>
      <c r="I142" s="60">
        <v>71</v>
      </c>
      <c r="J142" s="21" t="s">
        <v>21</v>
      </c>
      <c r="K142" s="22">
        <f t="shared" si="130"/>
        <v>0.65625</v>
      </c>
      <c r="L142" s="22">
        <f t="shared" si="130"/>
        <v>0.42105263157894735</v>
      </c>
      <c r="P142" s="24"/>
      <c r="Q142" s="24"/>
      <c r="R142" s="24"/>
      <c r="S142" s="24"/>
    </row>
    <row r="143" spans="1:19" x14ac:dyDescent="0.15">
      <c r="A143" s="60"/>
      <c r="B143" s="21" t="s">
        <v>22</v>
      </c>
      <c r="C143" s="21">
        <f>[62]PARS_syn_stat!B143</f>
        <v>11</v>
      </c>
      <c r="D143" s="21">
        <f>[62]PARS_syn_stat!C143</f>
        <v>11</v>
      </c>
      <c r="E143" s="22">
        <f t="shared" ref="E143:F143" si="143">C143/(C142+C143)</f>
        <v>0.34375</v>
      </c>
      <c r="F143" s="22">
        <f t="shared" si="143"/>
        <v>0.57894736842105265</v>
      </c>
      <c r="I143" s="60"/>
      <c r="J143" s="21" t="s">
        <v>22</v>
      </c>
      <c r="K143" s="22">
        <f t="shared" si="130"/>
        <v>0.34375</v>
      </c>
      <c r="L143" s="22">
        <f t="shared" si="130"/>
        <v>0.57894736842105265</v>
      </c>
      <c r="P143" s="24"/>
      <c r="Q143" s="24"/>
      <c r="R143" s="24"/>
      <c r="S143" s="24"/>
    </row>
    <row r="144" spans="1:19" x14ac:dyDescent="0.15">
      <c r="A144" s="60">
        <v>72</v>
      </c>
      <c r="B144" s="21" t="s">
        <v>21</v>
      </c>
      <c r="C144" s="21">
        <f>[62]PARS_syn_stat!B144</f>
        <v>30</v>
      </c>
      <c r="D144" s="21">
        <f>[62]PARS_syn_stat!C144</f>
        <v>13</v>
      </c>
      <c r="E144" s="22">
        <f t="shared" ref="E144:F144" si="144">C144/(C144+C145)</f>
        <v>0.75</v>
      </c>
      <c r="F144" s="22">
        <f t="shared" si="144"/>
        <v>0.5</v>
      </c>
      <c r="I144" s="60">
        <v>72</v>
      </c>
      <c r="J144" s="21" t="s">
        <v>21</v>
      </c>
      <c r="K144" s="22">
        <f t="shared" si="130"/>
        <v>0.75</v>
      </c>
      <c r="L144" s="22">
        <f t="shared" si="130"/>
        <v>0.5</v>
      </c>
      <c r="P144" s="24"/>
      <c r="Q144" s="24"/>
      <c r="R144" s="24"/>
      <c r="S144" s="24"/>
    </row>
    <row r="145" spans="1:19" x14ac:dyDescent="0.15">
      <c r="A145" s="60"/>
      <c r="B145" s="21" t="s">
        <v>22</v>
      </c>
      <c r="C145" s="21">
        <f>[62]PARS_syn_stat!B145</f>
        <v>10</v>
      </c>
      <c r="D145" s="21">
        <f>[62]PARS_syn_stat!C145</f>
        <v>13</v>
      </c>
      <c r="E145" s="22">
        <f t="shared" ref="E145:F145" si="145">C145/(C144+C145)</f>
        <v>0.25</v>
      </c>
      <c r="F145" s="22">
        <f t="shared" si="145"/>
        <v>0.5</v>
      </c>
      <c r="I145" s="60"/>
      <c r="J145" s="21" t="s">
        <v>22</v>
      </c>
      <c r="K145" s="22">
        <f t="shared" si="130"/>
        <v>0.25</v>
      </c>
      <c r="L145" s="22">
        <f t="shared" si="130"/>
        <v>0.5</v>
      </c>
      <c r="P145" s="24"/>
      <c r="Q145" s="24"/>
      <c r="R145" s="24"/>
      <c r="S145" s="24"/>
    </row>
    <row r="146" spans="1:19" x14ac:dyDescent="0.15">
      <c r="A146" s="60">
        <v>73</v>
      </c>
      <c r="B146" s="21" t="s">
        <v>21</v>
      </c>
      <c r="C146" s="21">
        <f>[62]PARS_syn_stat!B146</f>
        <v>25</v>
      </c>
      <c r="D146" s="21">
        <f>[62]PARS_syn_stat!C146</f>
        <v>16</v>
      </c>
      <c r="E146" s="22">
        <f t="shared" ref="E146:F146" si="146">C146/(C146+C147)</f>
        <v>0.56818181818181823</v>
      </c>
      <c r="F146" s="22">
        <f t="shared" si="146"/>
        <v>0.5161290322580645</v>
      </c>
      <c r="I146" s="60">
        <v>73</v>
      </c>
      <c r="J146" s="21" t="s">
        <v>21</v>
      </c>
      <c r="K146" s="22">
        <f t="shared" si="130"/>
        <v>0.56818181818181823</v>
      </c>
      <c r="L146" s="22">
        <f t="shared" si="130"/>
        <v>0.5161290322580645</v>
      </c>
      <c r="P146" s="24"/>
      <c r="Q146" s="24"/>
      <c r="R146" s="24"/>
      <c r="S146" s="24"/>
    </row>
    <row r="147" spans="1:19" x14ac:dyDescent="0.15">
      <c r="A147" s="60"/>
      <c r="B147" s="21" t="s">
        <v>22</v>
      </c>
      <c r="C147" s="21">
        <f>[62]PARS_syn_stat!B147</f>
        <v>19</v>
      </c>
      <c r="D147" s="21">
        <f>[62]PARS_syn_stat!C147</f>
        <v>15</v>
      </c>
      <c r="E147" s="22">
        <f t="shared" ref="E147:F147" si="147">C147/(C146+C147)</f>
        <v>0.43181818181818182</v>
      </c>
      <c r="F147" s="22">
        <f t="shared" si="147"/>
        <v>0.4838709677419355</v>
      </c>
      <c r="I147" s="60"/>
      <c r="J147" s="21" t="s">
        <v>22</v>
      </c>
      <c r="K147" s="22">
        <f t="shared" si="130"/>
        <v>0.43181818181818182</v>
      </c>
      <c r="L147" s="22">
        <f t="shared" si="130"/>
        <v>0.4838709677419355</v>
      </c>
      <c r="P147" s="24"/>
      <c r="Q147" s="24"/>
      <c r="R147" s="24"/>
      <c r="S147" s="24"/>
    </row>
    <row r="148" spans="1:19" x14ac:dyDescent="0.15">
      <c r="A148" s="60">
        <v>74</v>
      </c>
      <c r="B148" s="21" t="s">
        <v>21</v>
      </c>
      <c r="C148" s="21">
        <f>[62]PARS_syn_stat!B148</f>
        <v>23</v>
      </c>
      <c r="D148" s="21">
        <f>[62]PARS_syn_stat!C148</f>
        <v>23</v>
      </c>
      <c r="E148" s="22">
        <f t="shared" ref="E148:F148" si="148">C148/(C148+C149)</f>
        <v>0.63888888888888884</v>
      </c>
      <c r="F148" s="22">
        <f t="shared" si="148"/>
        <v>0.71875</v>
      </c>
      <c r="I148" s="60">
        <v>74</v>
      </c>
      <c r="J148" s="21" t="s">
        <v>21</v>
      </c>
      <c r="K148" s="22">
        <f t="shared" si="130"/>
        <v>0.63888888888888884</v>
      </c>
      <c r="L148" s="22">
        <f t="shared" si="130"/>
        <v>0.71875</v>
      </c>
      <c r="P148" s="24"/>
      <c r="Q148" s="24"/>
      <c r="R148" s="24"/>
      <c r="S148" s="24"/>
    </row>
    <row r="149" spans="1:19" x14ac:dyDescent="0.15">
      <c r="A149" s="60"/>
      <c r="B149" s="21" t="s">
        <v>22</v>
      </c>
      <c r="C149" s="21">
        <f>[62]PARS_syn_stat!B149</f>
        <v>13</v>
      </c>
      <c r="D149" s="21">
        <f>[62]PARS_syn_stat!C149</f>
        <v>9</v>
      </c>
      <c r="E149" s="22">
        <f t="shared" ref="E149:F149" si="149">C149/(C148+C149)</f>
        <v>0.3611111111111111</v>
      </c>
      <c r="F149" s="22">
        <f t="shared" si="149"/>
        <v>0.28125</v>
      </c>
      <c r="I149" s="60"/>
      <c r="J149" s="21" t="s">
        <v>22</v>
      </c>
      <c r="K149" s="22">
        <f t="shared" si="130"/>
        <v>0.3611111111111111</v>
      </c>
      <c r="L149" s="22">
        <f t="shared" si="130"/>
        <v>0.28125</v>
      </c>
      <c r="P149" s="24"/>
      <c r="Q149" s="24"/>
      <c r="R149" s="24"/>
      <c r="S149" s="24"/>
    </row>
    <row r="150" spans="1:19" x14ac:dyDescent="0.15">
      <c r="A150" s="60">
        <v>75</v>
      </c>
      <c r="B150" s="21" t="s">
        <v>21</v>
      </c>
      <c r="C150" s="21">
        <f>[62]PARS_syn_stat!B150</f>
        <v>18</v>
      </c>
      <c r="D150" s="21">
        <f>[62]PARS_syn_stat!C150</f>
        <v>24</v>
      </c>
      <c r="E150" s="22">
        <f t="shared" ref="E150:F150" si="150">C150/(C150+C151)</f>
        <v>0.46153846153846156</v>
      </c>
      <c r="F150" s="22">
        <f t="shared" si="150"/>
        <v>0.64864864864864868</v>
      </c>
      <c r="I150" s="60">
        <v>75</v>
      </c>
      <c r="J150" s="21" t="s">
        <v>21</v>
      </c>
      <c r="K150" s="22">
        <f t="shared" si="130"/>
        <v>0.46153846153846156</v>
      </c>
      <c r="L150" s="22">
        <f t="shared" si="130"/>
        <v>0.64864864864864868</v>
      </c>
      <c r="P150" s="24"/>
      <c r="Q150" s="24"/>
      <c r="R150" s="24"/>
      <c r="S150" s="24"/>
    </row>
    <row r="151" spans="1:19" x14ac:dyDescent="0.15">
      <c r="A151" s="60"/>
      <c r="B151" s="21" t="s">
        <v>22</v>
      </c>
      <c r="C151" s="21">
        <f>[62]PARS_syn_stat!B151</f>
        <v>21</v>
      </c>
      <c r="D151" s="21">
        <f>[62]PARS_syn_stat!C151</f>
        <v>13</v>
      </c>
      <c r="E151" s="22">
        <f t="shared" ref="E151:F151" si="151">C151/(C150+C151)</f>
        <v>0.53846153846153844</v>
      </c>
      <c r="F151" s="22">
        <f t="shared" si="151"/>
        <v>0.35135135135135137</v>
      </c>
      <c r="I151" s="60"/>
      <c r="J151" s="21" t="s">
        <v>22</v>
      </c>
      <c r="K151" s="22">
        <f t="shared" si="130"/>
        <v>0.53846153846153844</v>
      </c>
      <c r="L151" s="22">
        <f t="shared" si="130"/>
        <v>0.35135135135135137</v>
      </c>
      <c r="P151" s="24"/>
      <c r="Q151" s="24"/>
      <c r="R151" s="24"/>
      <c r="S151" s="24"/>
    </row>
    <row r="152" spans="1:19" x14ac:dyDescent="0.15">
      <c r="A152" s="60">
        <v>76</v>
      </c>
      <c r="B152" s="21" t="s">
        <v>21</v>
      </c>
      <c r="C152" s="21">
        <f>[62]PARS_syn_stat!B152</f>
        <v>21</v>
      </c>
      <c r="D152" s="21">
        <f>[62]PARS_syn_stat!C152</f>
        <v>12</v>
      </c>
      <c r="E152" s="22">
        <f t="shared" ref="E152:F152" si="152">C152/(C152+C153)</f>
        <v>0.51219512195121952</v>
      </c>
      <c r="F152" s="22">
        <f t="shared" si="152"/>
        <v>0.5714285714285714</v>
      </c>
      <c r="I152" s="60">
        <v>76</v>
      </c>
      <c r="J152" s="21" t="s">
        <v>21</v>
      </c>
      <c r="K152" s="22">
        <f t="shared" si="130"/>
        <v>0.51219512195121952</v>
      </c>
      <c r="L152" s="22">
        <f t="shared" si="130"/>
        <v>0.5714285714285714</v>
      </c>
      <c r="P152" s="24"/>
      <c r="Q152" s="24"/>
      <c r="R152" s="24"/>
      <c r="S152" s="24"/>
    </row>
    <row r="153" spans="1:19" x14ac:dyDescent="0.15">
      <c r="A153" s="60"/>
      <c r="B153" s="21" t="s">
        <v>22</v>
      </c>
      <c r="C153" s="21">
        <f>[62]PARS_syn_stat!B153</f>
        <v>20</v>
      </c>
      <c r="D153" s="21">
        <f>[62]PARS_syn_stat!C153</f>
        <v>9</v>
      </c>
      <c r="E153" s="22">
        <f t="shared" ref="E153:F153" si="153">C153/(C152+C153)</f>
        <v>0.48780487804878048</v>
      </c>
      <c r="F153" s="22">
        <f t="shared" si="153"/>
        <v>0.42857142857142855</v>
      </c>
      <c r="I153" s="60"/>
      <c r="J153" s="21" t="s">
        <v>22</v>
      </c>
      <c r="K153" s="22">
        <f t="shared" si="130"/>
        <v>0.48780487804878048</v>
      </c>
      <c r="L153" s="22">
        <f t="shared" si="130"/>
        <v>0.42857142857142855</v>
      </c>
      <c r="P153" s="24"/>
      <c r="Q153" s="24"/>
      <c r="R153" s="24"/>
      <c r="S153" s="24"/>
    </row>
    <row r="154" spans="1:19" x14ac:dyDescent="0.15">
      <c r="A154" s="60">
        <v>77</v>
      </c>
      <c r="B154" s="21" t="s">
        <v>21</v>
      </c>
      <c r="C154" s="21">
        <f>[62]PARS_syn_stat!B154</f>
        <v>18</v>
      </c>
      <c r="D154" s="21">
        <f>[62]PARS_syn_stat!C154</f>
        <v>21</v>
      </c>
      <c r="E154" s="22">
        <f t="shared" ref="E154:F154" si="154">C154/(C154+C155)</f>
        <v>0.6</v>
      </c>
      <c r="F154" s="22">
        <f t="shared" si="154"/>
        <v>0.55263157894736847</v>
      </c>
      <c r="I154" s="60">
        <v>77</v>
      </c>
      <c r="J154" s="21" t="s">
        <v>21</v>
      </c>
      <c r="K154" s="22">
        <f t="shared" si="130"/>
        <v>0.6</v>
      </c>
      <c r="L154" s="22">
        <f t="shared" si="130"/>
        <v>0.55263157894736847</v>
      </c>
      <c r="P154" s="24"/>
      <c r="Q154" s="24"/>
      <c r="R154" s="24"/>
      <c r="S154" s="24"/>
    </row>
    <row r="155" spans="1:19" x14ac:dyDescent="0.15">
      <c r="A155" s="60"/>
      <c r="B155" s="21" t="s">
        <v>22</v>
      </c>
      <c r="C155" s="21">
        <f>[62]PARS_syn_stat!B155</f>
        <v>12</v>
      </c>
      <c r="D155" s="21">
        <f>[62]PARS_syn_stat!C155</f>
        <v>17</v>
      </c>
      <c r="E155" s="22">
        <f t="shared" ref="E155:F155" si="155">C155/(C154+C155)</f>
        <v>0.4</v>
      </c>
      <c r="F155" s="22">
        <f t="shared" si="155"/>
        <v>0.44736842105263158</v>
      </c>
      <c r="I155" s="60"/>
      <c r="J155" s="21" t="s">
        <v>22</v>
      </c>
      <c r="K155" s="22">
        <f t="shared" si="130"/>
        <v>0.4</v>
      </c>
      <c r="L155" s="22">
        <f t="shared" si="130"/>
        <v>0.44736842105263158</v>
      </c>
      <c r="P155" s="24"/>
      <c r="Q155" s="24"/>
      <c r="R155" s="24"/>
      <c r="S155" s="24"/>
    </row>
    <row r="156" spans="1:19" x14ac:dyDescent="0.15">
      <c r="A156" s="60">
        <v>78</v>
      </c>
      <c r="B156" s="21" t="s">
        <v>21</v>
      </c>
      <c r="C156" s="21">
        <f>[62]PARS_syn_stat!B156</f>
        <v>20</v>
      </c>
      <c r="D156" s="21">
        <f>[62]PARS_syn_stat!C156</f>
        <v>17</v>
      </c>
      <c r="E156" s="22">
        <f t="shared" ref="E156:F156" si="156">C156/(C156+C157)</f>
        <v>0.7407407407407407</v>
      </c>
      <c r="F156" s="22">
        <f t="shared" si="156"/>
        <v>0.68</v>
      </c>
      <c r="I156" s="60">
        <v>78</v>
      </c>
      <c r="J156" s="21" t="s">
        <v>21</v>
      </c>
      <c r="K156" s="22">
        <f t="shared" si="130"/>
        <v>0.7407407407407407</v>
      </c>
      <c r="L156" s="22">
        <f t="shared" si="130"/>
        <v>0.68</v>
      </c>
      <c r="P156" s="24"/>
      <c r="Q156" s="24"/>
      <c r="R156" s="24"/>
      <c r="S156" s="24"/>
    </row>
    <row r="157" spans="1:19" x14ac:dyDescent="0.15">
      <c r="A157" s="60"/>
      <c r="B157" s="21" t="s">
        <v>22</v>
      </c>
      <c r="C157" s="21">
        <f>[62]PARS_syn_stat!B157</f>
        <v>7</v>
      </c>
      <c r="D157" s="21">
        <f>[62]PARS_syn_stat!C157</f>
        <v>8</v>
      </c>
      <c r="E157" s="22">
        <f t="shared" ref="E157:F157" si="157">C157/(C156+C157)</f>
        <v>0.25925925925925924</v>
      </c>
      <c r="F157" s="22">
        <f t="shared" si="157"/>
        <v>0.32</v>
      </c>
      <c r="I157" s="60"/>
      <c r="J157" s="21" t="s">
        <v>22</v>
      </c>
      <c r="K157" s="22">
        <f t="shared" si="130"/>
        <v>0.25925925925925924</v>
      </c>
      <c r="L157" s="22">
        <f t="shared" si="130"/>
        <v>0.32</v>
      </c>
      <c r="P157" s="24"/>
      <c r="Q157" s="24"/>
      <c r="R157" s="24"/>
      <c r="S157" s="24"/>
    </row>
    <row r="158" spans="1:19" x14ac:dyDescent="0.15">
      <c r="A158" s="60">
        <v>79</v>
      </c>
      <c r="B158" s="21" t="s">
        <v>21</v>
      </c>
      <c r="C158" s="21">
        <f>[62]PARS_syn_stat!B158</f>
        <v>22</v>
      </c>
      <c r="D158" s="21">
        <f>[62]PARS_syn_stat!C158</f>
        <v>16</v>
      </c>
      <c r="E158" s="22">
        <f t="shared" ref="E158:F158" si="158">C158/(C158+C159)</f>
        <v>0.75862068965517238</v>
      </c>
      <c r="F158" s="22">
        <f t="shared" si="158"/>
        <v>0.76190476190476186</v>
      </c>
      <c r="I158" s="60">
        <v>79</v>
      </c>
      <c r="J158" s="21" t="s">
        <v>21</v>
      </c>
      <c r="K158" s="22">
        <f t="shared" si="130"/>
        <v>0.75862068965517238</v>
      </c>
      <c r="L158" s="22">
        <f t="shared" si="130"/>
        <v>0.76190476190476186</v>
      </c>
      <c r="P158" s="24"/>
      <c r="Q158" s="24"/>
      <c r="R158" s="24"/>
      <c r="S158" s="24"/>
    </row>
    <row r="159" spans="1:19" x14ac:dyDescent="0.15">
      <c r="A159" s="60"/>
      <c r="B159" s="21" t="s">
        <v>22</v>
      </c>
      <c r="C159" s="21">
        <f>[62]PARS_syn_stat!B159</f>
        <v>7</v>
      </c>
      <c r="D159" s="21">
        <f>[62]PARS_syn_stat!C159</f>
        <v>5</v>
      </c>
      <c r="E159" s="22">
        <f t="shared" ref="E159:F159" si="159">C159/(C158+C159)</f>
        <v>0.2413793103448276</v>
      </c>
      <c r="F159" s="22">
        <f t="shared" si="159"/>
        <v>0.23809523809523808</v>
      </c>
      <c r="I159" s="60"/>
      <c r="J159" s="21" t="s">
        <v>22</v>
      </c>
      <c r="K159" s="22">
        <f t="shared" si="130"/>
        <v>0.2413793103448276</v>
      </c>
      <c r="L159" s="22">
        <f t="shared" si="130"/>
        <v>0.23809523809523808</v>
      </c>
      <c r="P159" s="24"/>
      <c r="Q159" s="24"/>
      <c r="R159" s="24"/>
      <c r="S159" s="24"/>
    </row>
    <row r="160" spans="1:19" x14ac:dyDescent="0.15">
      <c r="A160" s="60">
        <v>80</v>
      </c>
      <c r="B160" s="21" t="s">
        <v>21</v>
      </c>
      <c r="C160" s="21">
        <f>[62]PARS_syn_stat!B160</f>
        <v>15</v>
      </c>
      <c r="D160" s="21">
        <f>[62]PARS_syn_stat!C160</f>
        <v>11</v>
      </c>
      <c r="E160" s="22">
        <f t="shared" ref="E160:F160" si="160">C160/(C160+C161)</f>
        <v>0.57692307692307687</v>
      </c>
      <c r="F160" s="22">
        <f t="shared" si="160"/>
        <v>0.52380952380952384</v>
      </c>
      <c r="I160" s="60">
        <v>80</v>
      </c>
      <c r="J160" s="21" t="s">
        <v>21</v>
      </c>
      <c r="K160" s="22">
        <f t="shared" si="130"/>
        <v>0.57692307692307687</v>
      </c>
      <c r="L160" s="22">
        <f t="shared" si="130"/>
        <v>0.52380952380952384</v>
      </c>
      <c r="P160" s="24"/>
      <c r="Q160" s="24"/>
      <c r="R160" s="24"/>
      <c r="S160" s="24"/>
    </row>
    <row r="161" spans="1:19" x14ac:dyDescent="0.15">
      <c r="A161" s="60"/>
      <c r="B161" s="21" t="s">
        <v>22</v>
      </c>
      <c r="C161" s="21">
        <f>[62]PARS_syn_stat!B161</f>
        <v>11</v>
      </c>
      <c r="D161" s="21">
        <f>[62]PARS_syn_stat!C161</f>
        <v>10</v>
      </c>
      <c r="E161" s="22">
        <f t="shared" ref="E161:F161" si="161">C161/(C160+C161)</f>
        <v>0.42307692307692307</v>
      </c>
      <c r="F161" s="22">
        <f t="shared" si="161"/>
        <v>0.47619047619047616</v>
      </c>
      <c r="I161" s="60"/>
      <c r="J161" s="21" t="s">
        <v>22</v>
      </c>
      <c r="K161" s="22">
        <f t="shared" si="130"/>
        <v>0.42307692307692307</v>
      </c>
      <c r="L161" s="22">
        <f t="shared" si="130"/>
        <v>0.47619047619047616</v>
      </c>
      <c r="P161" s="24"/>
      <c r="Q161" s="24"/>
      <c r="R161" s="24"/>
      <c r="S161" s="24"/>
    </row>
    <row r="162" spans="1:19" x14ac:dyDescent="0.15">
      <c r="A162" s="60">
        <v>81</v>
      </c>
      <c r="B162" s="21" t="s">
        <v>21</v>
      </c>
      <c r="C162" s="21">
        <f>[62]PARS_syn_stat!B162</f>
        <v>28</v>
      </c>
      <c r="D162" s="21">
        <f>[62]PARS_syn_stat!C162</f>
        <v>10</v>
      </c>
      <c r="E162" s="22">
        <f t="shared" ref="E162:F162" si="162">C162/(C162+C163)</f>
        <v>0.66666666666666663</v>
      </c>
      <c r="F162" s="22">
        <f t="shared" si="162"/>
        <v>0.55555555555555558</v>
      </c>
      <c r="I162" s="60">
        <v>81</v>
      </c>
      <c r="J162" s="21" t="s">
        <v>21</v>
      </c>
      <c r="K162" s="22">
        <f t="shared" si="130"/>
        <v>0.66666666666666663</v>
      </c>
      <c r="L162" s="22">
        <f t="shared" si="130"/>
        <v>0.55555555555555558</v>
      </c>
      <c r="P162" s="24"/>
      <c r="Q162" s="24"/>
      <c r="R162" s="24"/>
      <c r="S162" s="24"/>
    </row>
    <row r="163" spans="1:19" x14ac:dyDescent="0.15">
      <c r="A163" s="60"/>
      <c r="B163" s="21" t="s">
        <v>22</v>
      </c>
      <c r="C163" s="21">
        <f>[62]PARS_syn_stat!B163</f>
        <v>14</v>
      </c>
      <c r="D163" s="21">
        <f>[62]PARS_syn_stat!C163</f>
        <v>8</v>
      </c>
      <c r="E163" s="22">
        <f t="shared" ref="E163:F163" si="163">C163/(C162+C163)</f>
        <v>0.33333333333333331</v>
      </c>
      <c r="F163" s="22">
        <f t="shared" si="163"/>
        <v>0.44444444444444442</v>
      </c>
      <c r="I163" s="60"/>
      <c r="J163" s="21" t="s">
        <v>22</v>
      </c>
      <c r="K163" s="22">
        <f t="shared" si="130"/>
        <v>0.33333333333333331</v>
      </c>
      <c r="L163" s="22">
        <f t="shared" si="130"/>
        <v>0.44444444444444442</v>
      </c>
      <c r="P163" s="24"/>
      <c r="Q163" s="24"/>
      <c r="R163" s="24"/>
      <c r="S163" s="24"/>
    </row>
    <row r="164" spans="1:19" x14ac:dyDescent="0.15">
      <c r="A164" s="60">
        <v>82</v>
      </c>
      <c r="B164" s="21" t="s">
        <v>21</v>
      </c>
      <c r="C164" s="21">
        <f>[62]PARS_syn_stat!B164</f>
        <v>24</v>
      </c>
      <c r="D164" s="21">
        <f>[62]PARS_syn_stat!C164</f>
        <v>19</v>
      </c>
      <c r="E164" s="22">
        <f t="shared" ref="E164:F164" si="164">C164/(C164+C165)</f>
        <v>0.68571428571428572</v>
      </c>
      <c r="F164" s="22">
        <f t="shared" si="164"/>
        <v>0.59375</v>
      </c>
      <c r="I164" s="60">
        <v>82</v>
      </c>
      <c r="J164" s="21" t="s">
        <v>21</v>
      </c>
      <c r="K164" s="22">
        <f t="shared" si="130"/>
        <v>0.68571428571428572</v>
      </c>
      <c r="L164" s="22">
        <f t="shared" si="130"/>
        <v>0.59375</v>
      </c>
      <c r="P164" s="24"/>
      <c r="Q164" s="24"/>
      <c r="R164" s="24"/>
      <c r="S164" s="24"/>
    </row>
    <row r="165" spans="1:19" x14ac:dyDescent="0.15">
      <c r="A165" s="60"/>
      <c r="B165" s="21" t="s">
        <v>22</v>
      </c>
      <c r="C165" s="21">
        <f>[62]PARS_syn_stat!B165</f>
        <v>11</v>
      </c>
      <c r="D165" s="21">
        <f>[62]PARS_syn_stat!C165</f>
        <v>13</v>
      </c>
      <c r="E165" s="22">
        <f t="shared" ref="E165:F165" si="165">C165/(C164+C165)</f>
        <v>0.31428571428571428</v>
      </c>
      <c r="F165" s="22">
        <f t="shared" si="165"/>
        <v>0.40625</v>
      </c>
      <c r="I165" s="60"/>
      <c r="J165" s="21" t="s">
        <v>22</v>
      </c>
      <c r="K165" s="22">
        <f t="shared" si="130"/>
        <v>0.31428571428571428</v>
      </c>
      <c r="L165" s="22">
        <f t="shared" si="130"/>
        <v>0.40625</v>
      </c>
      <c r="P165" s="24"/>
      <c r="Q165" s="24"/>
      <c r="R165" s="24"/>
      <c r="S165" s="24"/>
    </row>
    <row r="166" spans="1:19" x14ac:dyDescent="0.15">
      <c r="A166" s="60">
        <v>83</v>
      </c>
      <c r="B166" s="21" t="s">
        <v>21</v>
      </c>
      <c r="C166" s="21">
        <f>[62]PARS_syn_stat!B166</f>
        <v>17</v>
      </c>
      <c r="D166" s="21">
        <f>[62]PARS_syn_stat!C166</f>
        <v>10</v>
      </c>
      <c r="E166" s="22">
        <f t="shared" ref="E166:F166" si="166">C166/(C166+C167)</f>
        <v>0.6071428571428571</v>
      </c>
      <c r="F166" s="22">
        <f t="shared" si="166"/>
        <v>0.47619047619047616</v>
      </c>
      <c r="I166" s="60">
        <v>83</v>
      </c>
      <c r="J166" s="21" t="s">
        <v>21</v>
      </c>
      <c r="K166" s="22">
        <f t="shared" si="130"/>
        <v>0.6071428571428571</v>
      </c>
      <c r="L166" s="22">
        <f t="shared" si="130"/>
        <v>0.47619047619047616</v>
      </c>
      <c r="P166" s="24"/>
      <c r="Q166" s="24"/>
      <c r="R166" s="24"/>
      <c r="S166" s="24"/>
    </row>
    <row r="167" spans="1:19" x14ac:dyDescent="0.15">
      <c r="A167" s="60"/>
      <c r="B167" s="21" t="s">
        <v>22</v>
      </c>
      <c r="C167" s="21">
        <f>[62]PARS_syn_stat!B167</f>
        <v>11</v>
      </c>
      <c r="D167" s="21">
        <f>[62]PARS_syn_stat!C167</f>
        <v>11</v>
      </c>
      <c r="E167" s="22">
        <f t="shared" ref="E167:F167" si="167">C167/(C166+C167)</f>
        <v>0.39285714285714285</v>
      </c>
      <c r="F167" s="22">
        <f t="shared" si="167"/>
        <v>0.52380952380952384</v>
      </c>
      <c r="I167" s="60"/>
      <c r="J167" s="21" t="s">
        <v>22</v>
      </c>
      <c r="K167" s="22">
        <f t="shared" si="130"/>
        <v>0.39285714285714285</v>
      </c>
      <c r="L167" s="22">
        <f t="shared" si="130"/>
        <v>0.52380952380952384</v>
      </c>
      <c r="P167" s="24"/>
      <c r="Q167" s="24"/>
      <c r="R167" s="24"/>
      <c r="S167" s="24"/>
    </row>
    <row r="168" spans="1:19" x14ac:dyDescent="0.15">
      <c r="A168" s="60">
        <v>84</v>
      </c>
      <c r="B168" s="21" t="s">
        <v>21</v>
      </c>
      <c r="C168" s="21">
        <f>[62]PARS_syn_stat!B168</f>
        <v>19</v>
      </c>
      <c r="D168" s="21">
        <f>[62]PARS_syn_stat!C168</f>
        <v>17</v>
      </c>
      <c r="E168" s="22">
        <f t="shared" ref="E168:F168" si="168">C168/(C168+C169)</f>
        <v>0.61290322580645162</v>
      </c>
      <c r="F168" s="22">
        <f t="shared" si="168"/>
        <v>0.5</v>
      </c>
      <c r="I168" s="60">
        <v>84</v>
      </c>
      <c r="J168" s="21" t="s">
        <v>21</v>
      </c>
      <c r="K168" s="22">
        <f t="shared" si="130"/>
        <v>0.61290322580645162</v>
      </c>
      <c r="L168" s="22">
        <f t="shared" si="130"/>
        <v>0.5</v>
      </c>
      <c r="P168" s="24"/>
      <c r="Q168" s="24"/>
      <c r="R168" s="24"/>
      <c r="S168" s="24"/>
    </row>
    <row r="169" spans="1:19" x14ac:dyDescent="0.15">
      <c r="A169" s="60"/>
      <c r="B169" s="21" t="s">
        <v>22</v>
      </c>
      <c r="C169" s="21">
        <f>[62]PARS_syn_stat!B169</f>
        <v>12</v>
      </c>
      <c r="D169" s="21">
        <f>[62]PARS_syn_stat!C169</f>
        <v>17</v>
      </c>
      <c r="E169" s="22">
        <f t="shared" ref="E169:F169" si="169">C169/(C168+C169)</f>
        <v>0.38709677419354838</v>
      </c>
      <c r="F169" s="22">
        <f t="shared" si="169"/>
        <v>0.5</v>
      </c>
      <c r="I169" s="60"/>
      <c r="J169" s="21" t="s">
        <v>22</v>
      </c>
      <c r="K169" s="22">
        <f t="shared" si="130"/>
        <v>0.38709677419354838</v>
      </c>
      <c r="L169" s="22">
        <f t="shared" si="130"/>
        <v>0.5</v>
      </c>
      <c r="P169" s="24"/>
      <c r="Q169" s="24"/>
      <c r="R169" s="24"/>
      <c r="S169" s="24"/>
    </row>
    <row r="170" spans="1:19" x14ac:dyDescent="0.15">
      <c r="A170" s="60">
        <v>85</v>
      </c>
      <c r="B170" s="21" t="s">
        <v>21</v>
      </c>
      <c r="C170" s="21">
        <f>[62]PARS_syn_stat!B170</f>
        <v>24</v>
      </c>
      <c r="D170" s="21">
        <f>[62]PARS_syn_stat!C170</f>
        <v>11</v>
      </c>
      <c r="E170" s="22">
        <f t="shared" ref="E170:F170" si="170">C170/(C170+C171)</f>
        <v>0.55813953488372092</v>
      </c>
      <c r="F170" s="22">
        <f t="shared" si="170"/>
        <v>0.52380952380952384</v>
      </c>
      <c r="I170" s="60">
        <v>85</v>
      </c>
      <c r="J170" s="21" t="s">
        <v>21</v>
      </c>
      <c r="K170" s="22">
        <f t="shared" si="130"/>
        <v>0.55813953488372092</v>
      </c>
      <c r="L170" s="22">
        <f t="shared" si="130"/>
        <v>0.52380952380952384</v>
      </c>
      <c r="P170" s="24"/>
      <c r="Q170" s="24"/>
      <c r="R170" s="24"/>
      <c r="S170" s="24"/>
    </row>
    <row r="171" spans="1:19" x14ac:dyDescent="0.15">
      <c r="A171" s="60"/>
      <c r="B171" s="21" t="s">
        <v>22</v>
      </c>
      <c r="C171" s="21">
        <f>[62]PARS_syn_stat!B171</f>
        <v>19</v>
      </c>
      <c r="D171" s="21">
        <f>[62]PARS_syn_stat!C171</f>
        <v>10</v>
      </c>
      <c r="E171" s="22">
        <f t="shared" ref="E171:F171" si="171">C171/(C170+C171)</f>
        <v>0.44186046511627908</v>
      </c>
      <c r="F171" s="22">
        <f t="shared" si="171"/>
        <v>0.47619047619047616</v>
      </c>
      <c r="I171" s="60"/>
      <c r="J171" s="21" t="s">
        <v>22</v>
      </c>
      <c r="K171" s="22">
        <f t="shared" si="130"/>
        <v>0.44186046511627908</v>
      </c>
      <c r="L171" s="22">
        <f t="shared" si="130"/>
        <v>0.47619047619047616</v>
      </c>
      <c r="P171" s="24"/>
      <c r="Q171" s="24"/>
      <c r="R171" s="24"/>
      <c r="S171" s="24"/>
    </row>
    <row r="172" spans="1:19" x14ac:dyDescent="0.15">
      <c r="A172" s="60">
        <v>86</v>
      </c>
      <c r="B172" s="21" t="s">
        <v>21</v>
      </c>
      <c r="C172" s="21">
        <f>[62]PARS_syn_stat!B172</f>
        <v>17</v>
      </c>
      <c r="D172" s="21">
        <f>[62]PARS_syn_stat!C172</f>
        <v>19</v>
      </c>
      <c r="E172" s="22">
        <f t="shared" ref="E172:F172" si="172">C172/(C172+C173)</f>
        <v>0.70833333333333337</v>
      </c>
      <c r="F172" s="22">
        <f t="shared" si="172"/>
        <v>0.61290322580645162</v>
      </c>
      <c r="I172" s="60">
        <v>86</v>
      </c>
      <c r="J172" s="21" t="s">
        <v>21</v>
      </c>
      <c r="K172" s="22">
        <f t="shared" si="130"/>
        <v>0.70833333333333337</v>
      </c>
      <c r="L172" s="22">
        <f t="shared" si="130"/>
        <v>0.61290322580645162</v>
      </c>
      <c r="P172" s="24"/>
      <c r="Q172" s="24"/>
      <c r="R172" s="24"/>
      <c r="S172" s="24"/>
    </row>
    <row r="173" spans="1:19" x14ac:dyDescent="0.15">
      <c r="A173" s="60"/>
      <c r="B173" s="21" t="s">
        <v>22</v>
      </c>
      <c r="C173" s="21">
        <f>[62]PARS_syn_stat!B173</f>
        <v>7</v>
      </c>
      <c r="D173" s="21">
        <f>[62]PARS_syn_stat!C173</f>
        <v>12</v>
      </c>
      <c r="E173" s="22">
        <f t="shared" ref="E173:F173" si="173">C173/(C172+C173)</f>
        <v>0.29166666666666669</v>
      </c>
      <c r="F173" s="22">
        <f t="shared" si="173"/>
        <v>0.38709677419354838</v>
      </c>
      <c r="I173" s="60"/>
      <c r="J173" s="21" t="s">
        <v>22</v>
      </c>
      <c r="K173" s="22">
        <f t="shared" si="130"/>
        <v>0.29166666666666669</v>
      </c>
      <c r="L173" s="22">
        <f t="shared" si="130"/>
        <v>0.38709677419354838</v>
      </c>
      <c r="P173" s="24"/>
      <c r="Q173" s="24"/>
      <c r="R173" s="24"/>
      <c r="S173" s="24"/>
    </row>
    <row r="174" spans="1:19" x14ac:dyDescent="0.15">
      <c r="A174" s="60">
        <v>87</v>
      </c>
      <c r="B174" s="21" t="s">
        <v>21</v>
      </c>
      <c r="C174" s="21">
        <f>[62]PARS_syn_stat!B174</f>
        <v>14</v>
      </c>
      <c r="D174" s="21">
        <f>[62]PARS_syn_stat!C174</f>
        <v>21</v>
      </c>
      <c r="E174" s="22">
        <f t="shared" ref="E174:F174" si="174">C174/(C174+C175)</f>
        <v>0.58333333333333337</v>
      </c>
      <c r="F174" s="22">
        <f t="shared" si="174"/>
        <v>0.6</v>
      </c>
      <c r="I174" s="60">
        <v>87</v>
      </c>
      <c r="J174" s="21" t="s">
        <v>21</v>
      </c>
      <c r="K174" s="22">
        <f t="shared" si="130"/>
        <v>0.58333333333333337</v>
      </c>
      <c r="L174" s="22">
        <f t="shared" si="130"/>
        <v>0.6</v>
      </c>
      <c r="P174" s="24"/>
      <c r="Q174" s="24"/>
      <c r="R174" s="24"/>
      <c r="S174" s="24"/>
    </row>
    <row r="175" spans="1:19" x14ac:dyDescent="0.15">
      <c r="A175" s="60"/>
      <c r="B175" s="21" t="s">
        <v>22</v>
      </c>
      <c r="C175" s="21">
        <f>[62]PARS_syn_stat!B175</f>
        <v>10</v>
      </c>
      <c r="D175" s="21">
        <f>[62]PARS_syn_stat!C175</f>
        <v>14</v>
      </c>
      <c r="E175" s="22">
        <f t="shared" ref="E175:F175" si="175">C175/(C174+C175)</f>
        <v>0.41666666666666669</v>
      </c>
      <c r="F175" s="22">
        <f t="shared" si="175"/>
        <v>0.4</v>
      </c>
      <c r="I175" s="60"/>
      <c r="J175" s="21" t="s">
        <v>22</v>
      </c>
      <c r="K175" s="22">
        <f t="shared" si="130"/>
        <v>0.41666666666666669</v>
      </c>
      <c r="L175" s="22">
        <f t="shared" si="130"/>
        <v>0.4</v>
      </c>
      <c r="P175" s="24"/>
      <c r="Q175" s="24"/>
      <c r="R175" s="24"/>
      <c r="S175" s="24"/>
    </row>
    <row r="176" spans="1:19" x14ac:dyDescent="0.15">
      <c r="A176" s="60">
        <v>88</v>
      </c>
      <c r="B176" s="21" t="s">
        <v>21</v>
      </c>
      <c r="C176" s="21">
        <f>[62]PARS_syn_stat!B176</f>
        <v>17</v>
      </c>
      <c r="D176" s="21">
        <f>[62]PARS_syn_stat!C176</f>
        <v>21</v>
      </c>
      <c r="E176" s="22">
        <f t="shared" ref="E176:F176" si="176">C176/(C176+C177)</f>
        <v>0.68</v>
      </c>
      <c r="F176" s="22">
        <f t="shared" si="176"/>
        <v>0.63636363636363635</v>
      </c>
      <c r="I176" s="60">
        <v>88</v>
      </c>
      <c r="J176" s="21" t="s">
        <v>21</v>
      </c>
      <c r="K176" s="22">
        <f t="shared" si="130"/>
        <v>0.68</v>
      </c>
      <c r="L176" s="22">
        <f t="shared" si="130"/>
        <v>0.63636363636363635</v>
      </c>
      <c r="P176" s="24"/>
      <c r="Q176" s="24"/>
      <c r="R176" s="24"/>
      <c r="S176" s="24"/>
    </row>
    <row r="177" spans="1:19" x14ac:dyDescent="0.15">
      <c r="A177" s="60"/>
      <c r="B177" s="21" t="s">
        <v>22</v>
      </c>
      <c r="C177" s="21">
        <f>[62]PARS_syn_stat!B177</f>
        <v>8</v>
      </c>
      <c r="D177" s="21">
        <f>[62]PARS_syn_stat!C177</f>
        <v>12</v>
      </c>
      <c r="E177" s="22">
        <f t="shared" ref="E177:F177" si="177">C177/(C176+C177)</f>
        <v>0.32</v>
      </c>
      <c r="F177" s="22">
        <f t="shared" si="177"/>
        <v>0.36363636363636365</v>
      </c>
      <c r="I177" s="60"/>
      <c r="J177" s="21" t="s">
        <v>22</v>
      </c>
      <c r="K177" s="22">
        <f t="shared" si="130"/>
        <v>0.32</v>
      </c>
      <c r="L177" s="22">
        <f t="shared" si="130"/>
        <v>0.36363636363636365</v>
      </c>
      <c r="P177" s="24"/>
      <c r="Q177" s="24"/>
      <c r="R177" s="24"/>
      <c r="S177" s="24"/>
    </row>
    <row r="178" spans="1:19" x14ac:dyDescent="0.15">
      <c r="A178" s="60">
        <v>89</v>
      </c>
      <c r="B178" s="21" t="s">
        <v>21</v>
      </c>
      <c r="C178" s="21">
        <f>[62]PARS_syn_stat!B178</f>
        <v>21</v>
      </c>
      <c r="D178" s="21">
        <f>[62]PARS_syn_stat!C178</f>
        <v>19</v>
      </c>
      <c r="E178" s="22">
        <f t="shared" ref="E178:F178" si="178">C178/(C178+C179)</f>
        <v>0.65625</v>
      </c>
      <c r="F178" s="22">
        <f t="shared" si="178"/>
        <v>0.65517241379310343</v>
      </c>
      <c r="I178" s="60">
        <v>89</v>
      </c>
      <c r="J178" s="21" t="s">
        <v>21</v>
      </c>
      <c r="K178" s="22">
        <f t="shared" si="130"/>
        <v>0.65625</v>
      </c>
      <c r="L178" s="22">
        <f t="shared" si="130"/>
        <v>0.65517241379310343</v>
      </c>
      <c r="P178" s="24"/>
      <c r="Q178" s="24"/>
      <c r="R178" s="24"/>
      <c r="S178" s="24"/>
    </row>
    <row r="179" spans="1:19" x14ac:dyDescent="0.15">
      <c r="A179" s="60"/>
      <c r="B179" s="21" t="s">
        <v>22</v>
      </c>
      <c r="C179" s="21">
        <f>[62]PARS_syn_stat!B179</f>
        <v>11</v>
      </c>
      <c r="D179" s="21">
        <f>[62]PARS_syn_stat!C179</f>
        <v>10</v>
      </c>
      <c r="E179" s="22">
        <f t="shared" ref="E179:F179" si="179">C179/(C178+C179)</f>
        <v>0.34375</v>
      </c>
      <c r="F179" s="22">
        <f t="shared" si="179"/>
        <v>0.34482758620689657</v>
      </c>
      <c r="I179" s="60"/>
      <c r="J179" s="21" t="s">
        <v>22</v>
      </c>
      <c r="K179" s="22">
        <f t="shared" si="130"/>
        <v>0.34375</v>
      </c>
      <c r="L179" s="22">
        <f t="shared" si="130"/>
        <v>0.34482758620689657</v>
      </c>
      <c r="P179" s="24"/>
      <c r="Q179" s="24"/>
      <c r="R179" s="24"/>
      <c r="S179" s="24"/>
    </row>
    <row r="180" spans="1:19" x14ac:dyDescent="0.15">
      <c r="A180" s="60">
        <v>90</v>
      </c>
      <c r="B180" s="21" t="s">
        <v>21</v>
      </c>
      <c r="C180" s="21">
        <f>[62]PARS_syn_stat!B180</f>
        <v>21</v>
      </c>
      <c r="D180" s="21">
        <f>[62]PARS_syn_stat!C180</f>
        <v>14</v>
      </c>
      <c r="E180" s="22">
        <f t="shared" ref="E180:F180" si="180">C180/(C180+C181)</f>
        <v>0.56756756756756754</v>
      </c>
      <c r="F180" s="22">
        <f t="shared" si="180"/>
        <v>0.51851851851851849</v>
      </c>
      <c r="I180" s="60">
        <v>90</v>
      </c>
      <c r="J180" s="21" t="s">
        <v>21</v>
      </c>
      <c r="K180" s="22">
        <f t="shared" si="130"/>
        <v>0.56756756756756754</v>
      </c>
      <c r="L180" s="22">
        <f t="shared" si="130"/>
        <v>0.51851851851851849</v>
      </c>
      <c r="P180" s="24"/>
      <c r="Q180" s="24"/>
      <c r="R180" s="24"/>
      <c r="S180" s="24"/>
    </row>
    <row r="181" spans="1:19" x14ac:dyDescent="0.15">
      <c r="A181" s="60"/>
      <c r="B181" s="21" t="s">
        <v>22</v>
      </c>
      <c r="C181" s="21">
        <f>[62]PARS_syn_stat!B181</f>
        <v>16</v>
      </c>
      <c r="D181" s="21">
        <f>[62]PARS_syn_stat!C181</f>
        <v>13</v>
      </c>
      <c r="E181" s="22">
        <f t="shared" ref="E181:F181" si="181">C181/(C180+C181)</f>
        <v>0.43243243243243246</v>
      </c>
      <c r="F181" s="22">
        <f t="shared" si="181"/>
        <v>0.48148148148148145</v>
      </c>
      <c r="I181" s="60"/>
      <c r="J181" s="21" t="s">
        <v>22</v>
      </c>
      <c r="K181" s="22">
        <f t="shared" si="130"/>
        <v>0.43243243243243246</v>
      </c>
      <c r="L181" s="22">
        <f t="shared" si="130"/>
        <v>0.48148148148148145</v>
      </c>
      <c r="P181" s="24"/>
      <c r="Q181" s="24"/>
      <c r="R181" s="24"/>
      <c r="S181" s="24"/>
    </row>
    <row r="182" spans="1:19" x14ac:dyDescent="0.15">
      <c r="A182" s="60">
        <v>91</v>
      </c>
      <c r="B182" s="21" t="s">
        <v>21</v>
      </c>
      <c r="C182" s="21">
        <f>[62]PARS_syn_stat!B182</f>
        <v>20</v>
      </c>
      <c r="D182" s="21">
        <f>[62]PARS_syn_stat!C182</f>
        <v>8</v>
      </c>
      <c r="E182" s="22">
        <f t="shared" ref="E182:F182" si="182">C182/(C182+C183)</f>
        <v>0.60606060606060608</v>
      </c>
      <c r="F182" s="22">
        <f t="shared" si="182"/>
        <v>0.4</v>
      </c>
      <c r="I182" s="60">
        <v>91</v>
      </c>
      <c r="J182" s="21" t="s">
        <v>21</v>
      </c>
      <c r="K182" s="22">
        <f t="shared" si="130"/>
        <v>0.60606060606060608</v>
      </c>
      <c r="L182" s="22">
        <f t="shared" si="130"/>
        <v>0.4</v>
      </c>
      <c r="P182" s="24"/>
      <c r="Q182" s="24"/>
      <c r="R182" s="24"/>
      <c r="S182" s="24"/>
    </row>
    <row r="183" spans="1:19" x14ac:dyDescent="0.15">
      <c r="A183" s="60"/>
      <c r="B183" s="21" t="s">
        <v>22</v>
      </c>
      <c r="C183" s="21">
        <f>[62]PARS_syn_stat!B183</f>
        <v>13</v>
      </c>
      <c r="D183" s="21">
        <f>[62]PARS_syn_stat!C183</f>
        <v>12</v>
      </c>
      <c r="E183" s="22">
        <f t="shared" ref="E183:F183" si="183">C183/(C182+C183)</f>
        <v>0.39393939393939392</v>
      </c>
      <c r="F183" s="22">
        <f t="shared" si="183"/>
        <v>0.6</v>
      </c>
      <c r="I183" s="60"/>
      <c r="J183" s="21" t="s">
        <v>22</v>
      </c>
      <c r="K183" s="22">
        <f t="shared" si="130"/>
        <v>0.39393939393939392</v>
      </c>
      <c r="L183" s="22">
        <f t="shared" si="130"/>
        <v>0.6</v>
      </c>
      <c r="P183" s="24"/>
      <c r="Q183" s="24"/>
      <c r="R183" s="24"/>
      <c r="S183" s="24"/>
    </row>
    <row r="184" spans="1:19" x14ac:dyDescent="0.15">
      <c r="A184" s="60">
        <v>92</v>
      </c>
      <c r="B184" s="21" t="s">
        <v>21</v>
      </c>
      <c r="C184" s="21">
        <f>[62]PARS_syn_stat!B184</f>
        <v>15</v>
      </c>
      <c r="D184" s="21">
        <f>[62]PARS_syn_stat!C184</f>
        <v>17</v>
      </c>
      <c r="E184" s="22">
        <f t="shared" ref="E184:F184" si="184">C184/(C184+C185)</f>
        <v>0.6</v>
      </c>
      <c r="F184" s="22">
        <f t="shared" si="184"/>
        <v>0.62962962962962965</v>
      </c>
      <c r="I184" s="60">
        <v>92</v>
      </c>
      <c r="J184" s="21" t="s">
        <v>21</v>
      </c>
      <c r="K184" s="22">
        <f t="shared" si="130"/>
        <v>0.6</v>
      </c>
      <c r="L184" s="22">
        <f t="shared" si="130"/>
        <v>0.62962962962962965</v>
      </c>
      <c r="P184" s="24"/>
      <c r="Q184" s="24"/>
      <c r="R184" s="24"/>
      <c r="S184" s="24"/>
    </row>
    <row r="185" spans="1:19" x14ac:dyDescent="0.15">
      <c r="A185" s="60"/>
      <c r="B185" s="21" t="s">
        <v>22</v>
      </c>
      <c r="C185" s="21">
        <f>[62]PARS_syn_stat!B185</f>
        <v>10</v>
      </c>
      <c r="D185" s="21">
        <f>[62]PARS_syn_stat!C185</f>
        <v>10</v>
      </c>
      <c r="E185" s="22">
        <f t="shared" ref="E185:F185" si="185">C185/(C184+C185)</f>
        <v>0.4</v>
      </c>
      <c r="F185" s="22">
        <f t="shared" si="185"/>
        <v>0.37037037037037035</v>
      </c>
      <c r="I185" s="60"/>
      <c r="J185" s="21" t="s">
        <v>22</v>
      </c>
      <c r="K185" s="22">
        <f t="shared" si="130"/>
        <v>0.4</v>
      </c>
      <c r="L185" s="22">
        <f t="shared" si="130"/>
        <v>0.37037037037037035</v>
      </c>
      <c r="P185" s="24"/>
      <c r="Q185" s="24"/>
      <c r="R185" s="24"/>
      <c r="S185" s="24"/>
    </row>
    <row r="186" spans="1:19" x14ac:dyDescent="0.15">
      <c r="A186" s="60">
        <v>93</v>
      </c>
      <c r="B186" s="21" t="s">
        <v>21</v>
      </c>
      <c r="C186" s="21">
        <f>[62]PARS_syn_stat!B186</f>
        <v>18</v>
      </c>
      <c r="D186" s="21">
        <f>[62]PARS_syn_stat!C186</f>
        <v>23</v>
      </c>
      <c r="E186" s="22">
        <f t="shared" ref="E186:F186" si="186">C186/(C186+C187)</f>
        <v>0.81818181818181823</v>
      </c>
      <c r="F186" s="22">
        <f t="shared" si="186"/>
        <v>0.69696969696969702</v>
      </c>
      <c r="I186" s="60">
        <v>93</v>
      </c>
      <c r="J186" s="21" t="s">
        <v>21</v>
      </c>
      <c r="K186" s="22">
        <f t="shared" si="130"/>
        <v>0.81818181818181823</v>
      </c>
      <c r="L186" s="22">
        <f t="shared" si="130"/>
        <v>0.69696969696969702</v>
      </c>
      <c r="P186" s="24"/>
      <c r="Q186" s="24"/>
      <c r="R186" s="24"/>
      <c r="S186" s="24"/>
    </row>
    <row r="187" spans="1:19" x14ac:dyDescent="0.15">
      <c r="A187" s="60"/>
      <c r="B187" s="21" t="s">
        <v>22</v>
      </c>
      <c r="C187" s="21">
        <f>[62]PARS_syn_stat!B187</f>
        <v>4</v>
      </c>
      <c r="D187" s="21">
        <f>[62]PARS_syn_stat!C187</f>
        <v>10</v>
      </c>
      <c r="E187" s="22">
        <f t="shared" ref="E187:F187" si="187">C187/(C186+C187)</f>
        <v>0.18181818181818182</v>
      </c>
      <c r="F187" s="22">
        <f t="shared" si="187"/>
        <v>0.30303030303030304</v>
      </c>
      <c r="I187" s="60"/>
      <c r="J187" s="21" t="s">
        <v>22</v>
      </c>
      <c r="K187" s="22">
        <f t="shared" si="130"/>
        <v>0.18181818181818182</v>
      </c>
      <c r="L187" s="22">
        <f t="shared" si="130"/>
        <v>0.30303030303030304</v>
      </c>
      <c r="P187" s="24"/>
      <c r="Q187" s="24"/>
      <c r="R187" s="24"/>
      <c r="S187" s="24"/>
    </row>
    <row r="188" spans="1:19" x14ac:dyDescent="0.15">
      <c r="A188" s="60">
        <v>94</v>
      </c>
      <c r="B188" s="21" t="s">
        <v>21</v>
      </c>
      <c r="C188" s="21">
        <f>[62]PARS_syn_stat!B188</f>
        <v>17</v>
      </c>
      <c r="D188" s="21">
        <f>[62]PARS_syn_stat!C188</f>
        <v>18</v>
      </c>
      <c r="E188" s="22">
        <f t="shared" ref="E188:F188" si="188">C188/(C188+C189)</f>
        <v>0.56666666666666665</v>
      </c>
      <c r="F188" s="22">
        <f t="shared" si="188"/>
        <v>0.5625</v>
      </c>
      <c r="I188" s="60">
        <v>94</v>
      </c>
      <c r="J188" s="21" t="s">
        <v>21</v>
      </c>
      <c r="K188" s="22">
        <f t="shared" si="130"/>
        <v>0.56666666666666665</v>
      </c>
      <c r="L188" s="22">
        <f t="shared" si="130"/>
        <v>0.5625</v>
      </c>
      <c r="P188" s="24"/>
      <c r="Q188" s="24"/>
      <c r="R188" s="24"/>
      <c r="S188" s="24"/>
    </row>
    <row r="189" spans="1:19" x14ac:dyDescent="0.15">
      <c r="A189" s="60"/>
      <c r="B189" s="21" t="s">
        <v>22</v>
      </c>
      <c r="C189" s="21">
        <f>[62]PARS_syn_stat!B189</f>
        <v>13</v>
      </c>
      <c r="D189" s="21">
        <f>[62]PARS_syn_stat!C189</f>
        <v>14</v>
      </c>
      <c r="E189" s="22">
        <f t="shared" ref="E189:F189" si="189">C189/(C188+C189)</f>
        <v>0.43333333333333335</v>
      </c>
      <c r="F189" s="22">
        <f t="shared" si="189"/>
        <v>0.4375</v>
      </c>
      <c r="I189" s="60"/>
      <c r="J189" s="21" t="s">
        <v>22</v>
      </c>
      <c r="K189" s="22">
        <f t="shared" si="130"/>
        <v>0.43333333333333335</v>
      </c>
      <c r="L189" s="22">
        <f t="shared" si="130"/>
        <v>0.4375</v>
      </c>
      <c r="P189" s="24"/>
      <c r="Q189" s="24"/>
      <c r="R189" s="24"/>
      <c r="S189" s="24"/>
    </row>
    <row r="190" spans="1:19" x14ac:dyDescent="0.15">
      <c r="A190" s="60">
        <v>95</v>
      </c>
      <c r="B190" s="21" t="s">
        <v>21</v>
      </c>
      <c r="C190" s="21">
        <f>[62]PARS_syn_stat!B190</f>
        <v>18</v>
      </c>
      <c r="D190" s="21">
        <f>[62]PARS_syn_stat!C190</f>
        <v>9</v>
      </c>
      <c r="E190" s="22">
        <f t="shared" ref="E190:F190" si="190">C190/(C190+C191)</f>
        <v>0.5625</v>
      </c>
      <c r="F190" s="22">
        <f t="shared" si="190"/>
        <v>0.45</v>
      </c>
      <c r="I190" s="60">
        <v>95</v>
      </c>
      <c r="J190" s="21" t="s">
        <v>21</v>
      </c>
      <c r="K190" s="22">
        <f t="shared" si="130"/>
        <v>0.5625</v>
      </c>
      <c r="L190" s="22">
        <f t="shared" si="130"/>
        <v>0.45</v>
      </c>
      <c r="P190" s="24"/>
      <c r="Q190" s="24"/>
      <c r="R190" s="24"/>
      <c r="S190" s="24"/>
    </row>
    <row r="191" spans="1:19" x14ac:dyDescent="0.15">
      <c r="A191" s="60"/>
      <c r="B191" s="21" t="s">
        <v>22</v>
      </c>
      <c r="C191" s="21">
        <f>[62]PARS_syn_stat!B191</f>
        <v>14</v>
      </c>
      <c r="D191" s="21">
        <f>[62]PARS_syn_stat!C191</f>
        <v>11</v>
      </c>
      <c r="E191" s="22">
        <f t="shared" ref="E191:F191" si="191">C191/(C190+C191)</f>
        <v>0.4375</v>
      </c>
      <c r="F191" s="22">
        <f t="shared" si="191"/>
        <v>0.55000000000000004</v>
      </c>
      <c r="I191" s="60"/>
      <c r="J191" s="21" t="s">
        <v>22</v>
      </c>
      <c r="K191" s="22">
        <f t="shared" si="130"/>
        <v>0.4375</v>
      </c>
      <c r="L191" s="22">
        <f t="shared" si="130"/>
        <v>0.55000000000000004</v>
      </c>
      <c r="P191" s="24"/>
      <c r="Q191" s="24"/>
      <c r="R191" s="24"/>
      <c r="S191" s="24"/>
    </row>
    <row r="192" spans="1:19" x14ac:dyDescent="0.15">
      <c r="A192" s="60">
        <v>96</v>
      </c>
      <c r="B192" s="21" t="s">
        <v>21</v>
      </c>
      <c r="C192" s="21">
        <f>[62]PARS_syn_stat!B192</f>
        <v>24</v>
      </c>
      <c r="D192" s="21">
        <f>[62]PARS_syn_stat!C192</f>
        <v>15</v>
      </c>
      <c r="E192" s="22">
        <f t="shared" ref="E192:F192" si="192">C192/(C192+C193)</f>
        <v>0.70588235294117652</v>
      </c>
      <c r="F192" s="22">
        <f t="shared" si="192"/>
        <v>0.44117647058823528</v>
      </c>
      <c r="I192" s="60">
        <v>96</v>
      </c>
      <c r="J192" s="21" t="s">
        <v>21</v>
      </c>
      <c r="K192" s="22">
        <f t="shared" si="130"/>
        <v>0.70588235294117652</v>
      </c>
      <c r="L192" s="22">
        <f t="shared" si="130"/>
        <v>0.44117647058823528</v>
      </c>
      <c r="P192" s="24"/>
      <c r="Q192" s="24"/>
      <c r="R192" s="24"/>
      <c r="S192" s="24"/>
    </row>
    <row r="193" spans="1:19" x14ac:dyDescent="0.15">
      <c r="A193" s="60"/>
      <c r="B193" s="21" t="s">
        <v>22</v>
      </c>
      <c r="C193" s="21">
        <f>[62]PARS_syn_stat!B193</f>
        <v>10</v>
      </c>
      <c r="D193" s="21">
        <f>[62]PARS_syn_stat!C193</f>
        <v>19</v>
      </c>
      <c r="E193" s="22">
        <f t="shared" ref="E193:F193" si="193">C193/(C192+C193)</f>
        <v>0.29411764705882354</v>
      </c>
      <c r="F193" s="22">
        <f t="shared" si="193"/>
        <v>0.55882352941176472</v>
      </c>
      <c r="I193" s="60"/>
      <c r="J193" s="21" t="s">
        <v>22</v>
      </c>
      <c r="K193" s="22">
        <f t="shared" si="130"/>
        <v>0.29411764705882354</v>
      </c>
      <c r="L193" s="22">
        <f t="shared" si="130"/>
        <v>0.55882352941176472</v>
      </c>
      <c r="P193" s="24"/>
      <c r="Q193" s="24"/>
      <c r="R193" s="24"/>
      <c r="S193" s="24"/>
    </row>
    <row r="194" spans="1:19" x14ac:dyDescent="0.15">
      <c r="A194" s="60">
        <v>97</v>
      </c>
      <c r="B194" s="21" t="s">
        <v>21</v>
      </c>
      <c r="C194" s="21">
        <f>[62]PARS_syn_stat!B194</f>
        <v>22</v>
      </c>
      <c r="D194" s="21">
        <f>[62]PARS_syn_stat!C194</f>
        <v>20</v>
      </c>
      <c r="E194" s="22">
        <f t="shared" ref="E194:F194" si="194">C194/(C194+C195)</f>
        <v>0.55000000000000004</v>
      </c>
      <c r="F194" s="22">
        <f t="shared" si="194"/>
        <v>0.60606060606060608</v>
      </c>
      <c r="I194" s="60">
        <v>97</v>
      </c>
      <c r="J194" s="21" t="s">
        <v>21</v>
      </c>
      <c r="K194" s="22">
        <f t="shared" ref="K194:L255" si="195">E194</f>
        <v>0.55000000000000004</v>
      </c>
      <c r="L194" s="22">
        <f t="shared" si="195"/>
        <v>0.60606060606060608</v>
      </c>
      <c r="P194" s="24"/>
      <c r="Q194" s="24"/>
      <c r="R194" s="24"/>
      <c r="S194" s="24"/>
    </row>
    <row r="195" spans="1:19" x14ac:dyDescent="0.15">
      <c r="A195" s="60"/>
      <c r="B195" s="21" t="s">
        <v>22</v>
      </c>
      <c r="C195" s="21">
        <f>[62]PARS_syn_stat!B195</f>
        <v>18</v>
      </c>
      <c r="D195" s="21">
        <f>[62]PARS_syn_stat!C195</f>
        <v>13</v>
      </c>
      <c r="E195" s="22">
        <f t="shared" ref="E195:F195" si="196">C195/(C194+C195)</f>
        <v>0.45</v>
      </c>
      <c r="F195" s="22">
        <f t="shared" si="196"/>
        <v>0.39393939393939392</v>
      </c>
      <c r="I195" s="60"/>
      <c r="J195" s="21" t="s">
        <v>22</v>
      </c>
      <c r="K195" s="22">
        <f t="shared" si="195"/>
        <v>0.45</v>
      </c>
      <c r="L195" s="22">
        <f t="shared" si="195"/>
        <v>0.39393939393939392</v>
      </c>
      <c r="P195" s="24"/>
      <c r="Q195" s="24"/>
      <c r="R195" s="24"/>
      <c r="S195" s="24"/>
    </row>
    <row r="196" spans="1:19" x14ac:dyDescent="0.15">
      <c r="A196" s="60">
        <v>98</v>
      </c>
      <c r="B196" s="21" t="s">
        <v>21</v>
      </c>
      <c r="C196" s="21">
        <f>[62]PARS_syn_stat!B196</f>
        <v>22</v>
      </c>
      <c r="D196" s="21">
        <f>[62]PARS_syn_stat!C196</f>
        <v>11</v>
      </c>
      <c r="E196" s="22">
        <f t="shared" ref="E196:F196" si="197">C196/(C196+C197)</f>
        <v>0.59459459459459463</v>
      </c>
      <c r="F196" s="22">
        <f t="shared" si="197"/>
        <v>0.45833333333333331</v>
      </c>
      <c r="I196" s="60">
        <v>98</v>
      </c>
      <c r="J196" s="21" t="s">
        <v>21</v>
      </c>
      <c r="K196" s="22">
        <f t="shared" si="195"/>
        <v>0.59459459459459463</v>
      </c>
      <c r="L196" s="22">
        <f t="shared" si="195"/>
        <v>0.45833333333333331</v>
      </c>
      <c r="P196" s="24"/>
      <c r="Q196" s="24"/>
      <c r="R196" s="24"/>
      <c r="S196" s="24"/>
    </row>
    <row r="197" spans="1:19" x14ac:dyDescent="0.15">
      <c r="A197" s="60"/>
      <c r="B197" s="21" t="s">
        <v>22</v>
      </c>
      <c r="C197" s="21">
        <f>[62]PARS_syn_stat!B197</f>
        <v>15</v>
      </c>
      <c r="D197" s="21">
        <f>[62]PARS_syn_stat!C197</f>
        <v>13</v>
      </c>
      <c r="E197" s="22">
        <f t="shared" ref="E197:F197" si="198">C197/(C196+C197)</f>
        <v>0.40540540540540543</v>
      </c>
      <c r="F197" s="22">
        <f t="shared" si="198"/>
        <v>0.54166666666666663</v>
      </c>
      <c r="I197" s="60"/>
      <c r="J197" s="21" t="s">
        <v>22</v>
      </c>
      <c r="K197" s="22">
        <f t="shared" si="195"/>
        <v>0.40540540540540543</v>
      </c>
      <c r="L197" s="22">
        <f t="shared" si="195"/>
        <v>0.54166666666666663</v>
      </c>
      <c r="P197" s="24"/>
      <c r="Q197" s="24"/>
      <c r="R197" s="24"/>
      <c r="S197" s="24"/>
    </row>
    <row r="198" spans="1:19" x14ac:dyDescent="0.15">
      <c r="A198" s="60">
        <v>99</v>
      </c>
      <c r="B198" s="21" t="s">
        <v>21</v>
      </c>
      <c r="C198" s="21">
        <f>[62]PARS_syn_stat!B198</f>
        <v>27</v>
      </c>
      <c r="D198" s="21">
        <f>[62]PARS_syn_stat!C198</f>
        <v>14</v>
      </c>
      <c r="E198" s="22">
        <f t="shared" ref="E198:F198" si="199">C198/(C198+C199)</f>
        <v>0.65853658536585369</v>
      </c>
      <c r="F198" s="22">
        <f t="shared" si="199"/>
        <v>0.4375</v>
      </c>
      <c r="I198" s="60">
        <v>99</v>
      </c>
      <c r="J198" s="21" t="s">
        <v>21</v>
      </c>
      <c r="K198" s="22">
        <f t="shared" si="195"/>
        <v>0.65853658536585369</v>
      </c>
      <c r="L198" s="22">
        <f t="shared" si="195"/>
        <v>0.4375</v>
      </c>
      <c r="P198" s="24"/>
      <c r="Q198" s="24"/>
      <c r="R198" s="24"/>
      <c r="S198" s="24"/>
    </row>
    <row r="199" spans="1:19" x14ac:dyDescent="0.15">
      <c r="A199" s="60"/>
      <c r="B199" s="21" t="s">
        <v>22</v>
      </c>
      <c r="C199" s="21">
        <f>[62]PARS_syn_stat!B199</f>
        <v>14</v>
      </c>
      <c r="D199" s="21">
        <f>[62]PARS_syn_stat!C199</f>
        <v>18</v>
      </c>
      <c r="E199" s="22">
        <f t="shared" ref="E199:F199" si="200">C199/(C198+C199)</f>
        <v>0.34146341463414637</v>
      </c>
      <c r="F199" s="22">
        <f t="shared" si="200"/>
        <v>0.5625</v>
      </c>
      <c r="I199" s="60"/>
      <c r="J199" s="21" t="s">
        <v>22</v>
      </c>
      <c r="K199" s="22">
        <f t="shared" si="195"/>
        <v>0.34146341463414637</v>
      </c>
      <c r="L199" s="22">
        <f t="shared" si="195"/>
        <v>0.5625</v>
      </c>
      <c r="P199" s="24"/>
      <c r="Q199" s="24"/>
      <c r="R199" s="24"/>
      <c r="S199" s="24"/>
    </row>
    <row r="200" spans="1:19" x14ac:dyDescent="0.15">
      <c r="A200" s="60">
        <v>100</v>
      </c>
      <c r="B200" s="21" t="s">
        <v>21</v>
      </c>
      <c r="C200" s="21">
        <f>[62]PARS_syn_stat!B200</f>
        <v>25</v>
      </c>
      <c r="D200" s="21">
        <f>[62]PARS_syn_stat!C200</f>
        <v>16</v>
      </c>
      <c r="E200" s="22">
        <f t="shared" ref="E200:F200" si="201">C200/(C200+C201)</f>
        <v>0.7142857142857143</v>
      </c>
      <c r="F200" s="22">
        <f t="shared" si="201"/>
        <v>0.53333333333333333</v>
      </c>
      <c r="I200" s="60">
        <v>100</v>
      </c>
      <c r="J200" s="21" t="s">
        <v>21</v>
      </c>
      <c r="K200" s="22">
        <f t="shared" si="195"/>
        <v>0.7142857142857143</v>
      </c>
      <c r="L200" s="22">
        <f t="shared" si="195"/>
        <v>0.53333333333333333</v>
      </c>
      <c r="P200" s="24"/>
      <c r="Q200" s="24"/>
      <c r="R200" s="24"/>
      <c r="S200" s="24"/>
    </row>
    <row r="201" spans="1:19" x14ac:dyDescent="0.15">
      <c r="A201" s="60"/>
      <c r="B201" s="21" t="s">
        <v>22</v>
      </c>
      <c r="C201" s="21">
        <f>[62]PARS_syn_stat!B201</f>
        <v>10</v>
      </c>
      <c r="D201" s="21">
        <f>[62]PARS_syn_stat!C201</f>
        <v>14</v>
      </c>
      <c r="E201" s="22">
        <f t="shared" ref="E201:F201" si="202">C201/(C200+C201)</f>
        <v>0.2857142857142857</v>
      </c>
      <c r="F201" s="22">
        <f t="shared" si="202"/>
        <v>0.46666666666666667</v>
      </c>
      <c r="I201" s="60"/>
      <c r="J201" s="21" t="s">
        <v>22</v>
      </c>
      <c r="K201" s="22">
        <f t="shared" si="195"/>
        <v>0.2857142857142857</v>
      </c>
      <c r="L201" s="22">
        <f t="shared" si="195"/>
        <v>0.46666666666666667</v>
      </c>
      <c r="P201" s="24"/>
      <c r="Q201" s="24"/>
      <c r="R201" s="24"/>
      <c r="S201" s="24"/>
    </row>
    <row r="202" spans="1:19" x14ac:dyDescent="0.15">
      <c r="A202" s="60">
        <v>101</v>
      </c>
      <c r="B202" s="21" t="s">
        <v>21</v>
      </c>
      <c r="C202" s="21">
        <f>[62]PARS_syn_stat!B202</f>
        <v>14</v>
      </c>
      <c r="D202" s="21">
        <f>[62]PARS_syn_stat!C202</f>
        <v>22</v>
      </c>
      <c r="E202" s="22">
        <f t="shared" ref="E202:F202" si="203">C202/(C202+C203)</f>
        <v>0.60869565217391308</v>
      </c>
      <c r="F202" s="22">
        <f t="shared" si="203"/>
        <v>0.52380952380952384</v>
      </c>
      <c r="I202" s="60">
        <v>101</v>
      </c>
      <c r="J202" s="21" t="s">
        <v>21</v>
      </c>
      <c r="K202" s="22">
        <f t="shared" si="195"/>
        <v>0.60869565217391308</v>
      </c>
      <c r="L202" s="22">
        <f t="shared" si="195"/>
        <v>0.52380952380952384</v>
      </c>
      <c r="P202" s="24"/>
      <c r="Q202" s="24"/>
      <c r="R202" s="24"/>
      <c r="S202" s="24"/>
    </row>
    <row r="203" spans="1:19" x14ac:dyDescent="0.15">
      <c r="A203" s="60"/>
      <c r="B203" s="21" t="s">
        <v>22</v>
      </c>
      <c r="C203" s="21">
        <f>[62]PARS_syn_stat!B203</f>
        <v>9</v>
      </c>
      <c r="D203" s="21">
        <f>[62]PARS_syn_stat!C203</f>
        <v>20</v>
      </c>
      <c r="E203" s="22">
        <f t="shared" ref="E203:F203" si="204">C203/(C202+C203)</f>
        <v>0.39130434782608697</v>
      </c>
      <c r="F203" s="22">
        <f t="shared" si="204"/>
        <v>0.47619047619047616</v>
      </c>
      <c r="I203" s="60"/>
      <c r="J203" s="21" t="s">
        <v>22</v>
      </c>
      <c r="K203" s="22">
        <f t="shared" si="195"/>
        <v>0.39130434782608697</v>
      </c>
      <c r="L203" s="22">
        <f t="shared" si="195"/>
        <v>0.47619047619047616</v>
      </c>
      <c r="P203" s="24"/>
      <c r="Q203" s="24"/>
      <c r="R203" s="24"/>
      <c r="S203" s="24"/>
    </row>
    <row r="204" spans="1:19" x14ac:dyDescent="0.15">
      <c r="A204" s="60">
        <v>102</v>
      </c>
      <c r="B204" s="21" t="s">
        <v>21</v>
      </c>
      <c r="C204" s="21">
        <f>[62]PARS_syn_stat!B204</f>
        <v>25</v>
      </c>
      <c r="D204" s="21">
        <f>[62]PARS_syn_stat!C204</f>
        <v>15</v>
      </c>
      <c r="E204" s="22">
        <f t="shared" ref="E204:F204" si="205">C204/(C204+C205)</f>
        <v>0.51020408163265307</v>
      </c>
      <c r="F204" s="22">
        <f t="shared" si="205"/>
        <v>0.4838709677419355</v>
      </c>
      <c r="I204" s="60">
        <v>102</v>
      </c>
      <c r="J204" s="21" t="s">
        <v>21</v>
      </c>
      <c r="K204" s="22">
        <f t="shared" si="195"/>
        <v>0.51020408163265307</v>
      </c>
      <c r="L204" s="22">
        <f t="shared" si="195"/>
        <v>0.4838709677419355</v>
      </c>
      <c r="P204" s="24"/>
      <c r="Q204" s="24"/>
      <c r="R204" s="24"/>
      <c r="S204" s="24"/>
    </row>
    <row r="205" spans="1:19" x14ac:dyDescent="0.15">
      <c r="A205" s="60"/>
      <c r="B205" s="21" t="s">
        <v>22</v>
      </c>
      <c r="C205" s="21">
        <f>[62]PARS_syn_stat!B205</f>
        <v>24</v>
      </c>
      <c r="D205" s="21">
        <f>[62]PARS_syn_stat!C205</f>
        <v>16</v>
      </c>
      <c r="E205" s="22">
        <f t="shared" ref="E205:F205" si="206">C205/(C204+C205)</f>
        <v>0.48979591836734693</v>
      </c>
      <c r="F205" s="22">
        <f t="shared" si="206"/>
        <v>0.5161290322580645</v>
      </c>
      <c r="I205" s="60"/>
      <c r="J205" s="21" t="s">
        <v>22</v>
      </c>
      <c r="K205" s="22">
        <f t="shared" si="195"/>
        <v>0.48979591836734693</v>
      </c>
      <c r="L205" s="22">
        <f t="shared" si="195"/>
        <v>0.5161290322580645</v>
      </c>
      <c r="P205" s="24"/>
      <c r="Q205" s="24"/>
      <c r="R205" s="24"/>
      <c r="S205" s="24"/>
    </row>
    <row r="206" spans="1:19" x14ac:dyDescent="0.15">
      <c r="A206" s="60">
        <v>103</v>
      </c>
      <c r="B206" s="21" t="s">
        <v>21</v>
      </c>
      <c r="C206" s="21">
        <f>[62]PARS_syn_stat!B206</f>
        <v>17</v>
      </c>
      <c r="D206" s="21">
        <f>[62]PARS_syn_stat!C206</f>
        <v>17</v>
      </c>
      <c r="E206" s="22">
        <f t="shared" ref="E206:F206" si="207">C206/(C206+C207)</f>
        <v>0.53125</v>
      </c>
      <c r="F206" s="22">
        <f t="shared" si="207"/>
        <v>0.54838709677419351</v>
      </c>
      <c r="I206" s="60">
        <v>103</v>
      </c>
      <c r="J206" s="21" t="s">
        <v>21</v>
      </c>
      <c r="K206" s="22">
        <f t="shared" si="195"/>
        <v>0.53125</v>
      </c>
      <c r="L206" s="22">
        <f t="shared" si="195"/>
        <v>0.54838709677419351</v>
      </c>
      <c r="P206" s="24"/>
      <c r="Q206" s="24"/>
      <c r="R206" s="24"/>
      <c r="S206" s="24"/>
    </row>
    <row r="207" spans="1:19" x14ac:dyDescent="0.15">
      <c r="A207" s="60"/>
      <c r="B207" s="21" t="s">
        <v>22</v>
      </c>
      <c r="C207" s="21">
        <f>[62]PARS_syn_stat!B207</f>
        <v>15</v>
      </c>
      <c r="D207" s="21">
        <f>[62]PARS_syn_stat!C207</f>
        <v>14</v>
      </c>
      <c r="E207" s="22">
        <f t="shared" ref="E207:F207" si="208">C207/(C206+C207)</f>
        <v>0.46875</v>
      </c>
      <c r="F207" s="22">
        <f t="shared" si="208"/>
        <v>0.45161290322580644</v>
      </c>
      <c r="I207" s="60"/>
      <c r="J207" s="21" t="s">
        <v>22</v>
      </c>
      <c r="K207" s="22">
        <f t="shared" si="195"/>
        <v>0.46875</v>
      </c>
      <c r="L207" s="22">
        <f t="shared" si="195"/>
        <v>0.45161290322580644</v>
      </c>
      <c r="P207" s="24"/>
      <c r="Q207" s="24"/>
      <c r="R207" s="24"/>
      <c r="S207" s="24"/>
    </row>
    <row r="208" spans="1:19" x14ac:dyDescent="0.15">
      <c r="A208" s="60">
        <v>104</v>
      </c>
      <c r="B208" s="21" t="s">
        <v>21</v>
      </c>
      <c r="C208" s="21">
        <f>[62]PARS_syn_stat!B208</f>
        <v>24</v>
      </c>
      <c r="D208" s="21">
        <f>[62]PARS_syn_stat!C208</f>
        <v>21</v>
      </c>
      <c r="E208" s="22">
        <f t="shared" ref="E208:F208" si="209">C208/(C208+C209)</f>
        <v>0.58536585365853655</v>
      </c>
      <c r="F208" s="22">
        <f t="shared" si="209"/>
        <v>0.58333333333333337</v>
      </c>
      <c r="I208" s="60">
        <v>104</v>
      </c>
      <c r="J208" s="21" t="s">
        <v>21</v>
      </c>
      <c r="K208" s="22">
        <f t="shared" si="195"/>
        <v>0.58536585365853655</v>
      </c>
      <c r="L208" s="22">
        <f t="shared" si="195"/>
        <v>0.58333333333333337</v>
      </c>
      <c r="P208" s="24"/>
      <c r="Q208" s="24"/>
      <c r="R208" s="24"/>
      <c r="S208" s="24"/>
    </row>
    <row r="209" spans="1:19" x14ac:dyDescent="0.15">
      <c r="A209" s="60"/>
      <c r="B209" s="21" t="s">
        <v>22</v>
      </c>
      <c r="C209" s="21">
        <f>[62]PARS_syn_stat!B209</f>
        <v>17</v>
      </c>
      <c r="D209" s="21">
        <f>[62]PARS_syn_stat!C209</f>
        <v>15</v>
      </c>
      <c r="E209" s="22">
        <f t="shared" ref="E209:F209" si="210">C209/(C208+C209)</f>
        <v>0.41463414634146339</v>
      </c>
      <c r="F209" s="22">
        <f t="shared" si="210"/>
        <v>0.41666666666666669</v>
      </c>
      <c r="I209" s="60"/>
      <c r="J209" s="21" t="s">
        <v>22</v>
      </c>
      <c r="K209" s="22">
        <f t="shared" si="195"/>
        <v>0.41463414634146339</v>
      </c>
      <c r="L209" s="22">
        <f t="shared" si="195"/>
        <v>0.41666666666666669</v>
      </c>
      <c r="P209" s="24"/>
      <c r="Q209" s="24"/>
      <c r="R209" s="24"/>
      <c r="S209" s="24"/>
    </row>
    <row r="210" spans="1:19" x14ac:dyDescent="0.15">
      <c r="A210" s="60">
        <v>105</v>
      </c>
      <c r="B210" s="21" t="s">
        <v>21</v>
      </c>
      <c r="C210" s="21">
        <f>[62]PARS_syn_stat!B210</f>
        <v>15</v>
      </c>
      <c r="D210" s="21">
        <f>[62]PARS_syn_stat!C210</f>
        <v>16</v>
      </c>
      <c r="E210" s="22">
        <f t="shared" ref="E210:F210" si="211">C210/(C210+C211)</f>
        <v>0.4838709677419355</v>
      </c>
      <c r="F210" s="22">
        <f t="shared" si="211"/>
        <v>0.5714285714285714</v>
      </c>
      <c r="I210" s="60">
        <v>105</v>
      </c>
      <c r="J210" s="21" t="s">
        <v>21</v>
      </c>
      <c r="K210" s="22">
        <f t="shared" si="195"/>
        <v>0.4838709677419355</v>
      </c>
      <c r="L210" s="22">
        <f t="shared" si="195"/>
        <v>0.5714285714285714</v>
      </c>
      <c r="P210" s="24"/>
      <c r="Q210" s="24"/>
      <c r="R210" s="24"/>
      <c r="S210" s="24"/>
    </row>
    <row r="211" spans="1:19" x14ac:dyDescent="0.15">
      <c r="A211" s="60"/>
      <c r="B211" s="21" t="s">
        <v>22</v>
      </c>
      <c r="C211" s="21">
        <f>[62]PARS_syn_stat!B211</f>
        <v>16</v>
      </c>
      <c r="D211" s="21">
        <f>[62]PARS_syn_stat!C211</f>
        <v>12</v>
      </c>
      <c r="E211" s="22">
        <f t="shared" ref="E211:F211" si="212">C211/(C210+C211)</f>
        <v>0.5161290322580645</v>
      </c>
      <c r="F211" s="22">
        <f t="shared" si="212"/>
        <v>0.42857142857142855</v>
      </c>
      <c r="I211" s="60"/>
      <c r="J211" s="21" t="s">
        <v>22</v>
      </c>
      <c r="K211" s="22">
        <f t="shared" si="195"/>
        <v>0.5161290322580645</v>
      </c>
      <c r="L211" s="22">
        <f t="shared" si="195"/>
        <v>0.42857142857142855</v>
      </c>
      <c r="P211" s="24"/>
      <c r="Q211" s="24"/>
      <c r="R211" s="24"/>
      <c r="S211" s="24"/>
    </row>
    <row r="212" spans="1:19" x14ac:dyDescent="0.15">
      <c r="A212" s="60">
        <v>106</v>
      </c>
      <c r="B212" s="21" t="s">
        <v>21</v>
      </c>
      <c r="C212" s="21">
        <f>[62]PARS_syn_stat!B212</f>
        <v>25</v>
      </c>
      <c r="D212" s="21">
        <f>[62]PARS_syn_stat!C212</f>
        <v>17</v>
      </c>
      <c r="E212" s="22">
        <f t="shared" ref="E212:F212" si="213">C212/(C212+C213)</f>
        <v>0.69444444444444442</v>
      </c>
      <c r="F212" s="22">
        <f t="shared" si="213"/>
        <v>0.58620689655172409</v>
      </c>
      <c r="I212" s="60">
        <v>106</v>
      </c>
      <c r="J212" s="21" t="s">
        <v>21</v>
      </c>
      <c r="K212" s="22">
        <f t="shared" si="195"/>
        <v>0.69444444444444442</v>
      </c>
      <c r="L212" s="22">
        <f t="shared" si="195"/>
        <v>0.58620689655172409</v>
      </c>
      <c r="P212" s="24"/>
      <c r="Q212" s="24"/>
      <c r="R212" s="24"/>
      <c r="S212" s="24"/>
    </row>
    <row r="213" spans="1:19" x14ac:dyDescent="0.15">
      <c r="A213" s="60"/>
      <c r="B213" s="21" t="s">
        <v>22</v>
      </c>
      <c r="C213" s="21">
        <f>[62]PARS_syn_stat!B213</f>
        <v>11</v>
      </c>
      <c r="D213" s="21">
        <f>[62]PARS_syn_stat!C213</f>
        <v>12</v>
      </c>
      <c r="E213" s="22">
        <f t="shared" ref="E213:F213" si="214">C213/(C212+C213)</f>
        <v>0.30555555555555558</v>
      </c>
      <c r="F213" s="22">
        <f t="shared" si="214"/>
        <v>0.41379310344827586</v>
      </c>
      <c r="I213" s="60"/>
      <c r="J213" s="21" t="s">
        <v>22</v>
      </c>
      <c r="K213" s="22">
        <f t="shared" si="195"/>
        <v>0.30555555555555558</v>
      </c>
      <c r="L213" s="22">
        <f t="shared" si="195"/>
        <v>0.41379310344827586</v>
      </c>
      <c r="P213" s="24"/>
      <c r="Q213" s="24"/>
      <c r="R213" s="24"/>
      <c r="S213" s="24"/>
    </row>
    <row r="214" spans="1:19" x14ac:dyDescent="0.15">
      <c r="A214" s="60">
        <v>107</v>
      </c>
      <c r="B214" s="21" t="s">
        <v>21</v>
      </c>
      <c r="C214" s="21">
        <f>[62]PARS_syn_stat!B214</f>
        <v>32</v>
      </c>
      <c r="D214" s="21">
        <f>[62]PARS_syn_stat!C214</f>
        <v>17</v>
      </c>
      <c r="E214" s="22">
        <f t="shared" ref="E214:F214" si="215">C214/(C214+C215)</f>
        <v>0.71111111111111114</v>
      </c>
      <c r="F214" s="22">
        <f t="shared" si="215"/>
        <v>0.70833333333333337</v>
      </c>
      <c r="I214" s="60">
        <v>107</v>
      </c>
      <c r="J214" s="21" t="s">
        <v>21</v>
      </c>
      <c r="K214" s="22">
        <f t="shared" si="195"/>
        <v>0.71111111111111114</v>
      </c>
      <c r="L214" s="22">
        <f t="shared" si="195"/>
        <v>0.70833333333333337</v>
      </c>
      <c r="P214" s="24"/>
      <c r="Q214" s="24"/>
      <c r="R214" s="24"/>
      <c r="S214" s="24"/>
    </row>
    <row r="215" spans="1:19" x14ac:dyDescent="0.15">
      <c r="A215" s="60"/>
      <c r="B215" s="21" t="s">
        <v>22</v>
      </c>
      <c r="C215" s="21">
        <f>[62]PARS_syn_stat!B215</f>
        <v>13</v>
      </c>
      <c r="D215" s="21">
        <f>[62]PARS_syn_stat!C215</f>
        <v>7</v>
      </c>
      <c r="E215" s="22">
        <f t="shared" ref="E215:F215" si="216">C215/(C214+C215)</f>
        <v>0.28888888888888886</v>
      </c>
      <c r="F215" s="22">
        <f t="shared" si="216"/>
        <v>0.29166666666666669</v>
      </c>
      <c r="I215" s="60"/>
      <c r="J215" s="21" t="s">
        <v>22</v>
      </c>
      <c r="K215" s="22">
        <f t="shared" si="195"/>
        <v>0.28888888888888886</v>
      </c>
      <c r="L215" s="22">
        <f t="shared" si="195"/>
        <v>0.29166666666666669</v>
      </c>
      <c r="P215" s="24"/>
      <c r="Q215" s="24"/>
      <c r="R215" s="24"/>
      <c r="S215" s="24"/>
    </row>
    <row r="216" spans="1:19" x14ac:dyDescent="0.15">
      <c r="A216" s="60">
        <v>108</v>
      </c>
      <c r="B216" s="21" t="s">
        <v>21</v>
      </c>
      <c r="C216" s="21">
        <f>[62]PARS_syn_stat!B216</f>
        <v>25</v>
      </c>
      <c r="D216" s="21">
        <f>[62]PARS_syn_stat!C216</f>
        <v>14</v>
      </c>
      <c r="E216" s="22">
        <f t="shared" ref="E216:F216" si="217">C216/(C216+C217)</f>
        <v>0.73529411764705888</v>
      </c>
      <c r="F216" s="22">
        <f t="shared" si="217"/>
        <v>0.63636363636363635</v>
      </c>
      <c r="I216" s="60">
        <v>108</v>
      </c>
      <c r="J216" s="21" t="s">
        <v>21</v>
      </c>
      <c r="K216" s="22">
        <f t="shared" si="195"/>
        <v>0.73529411764705888</v>
      </c>
      <c r="L216" s="22">
        <f t="shared" si="195"/>
        <v>0.63636363636363635</v>
      </c>
      <c r="P216" s="24"/>
      <c r="Q216" s="24"/>
      <c r="R216" s="24"/>
      <c r="S216" s="24"/>
    </row>
    <row r="217" spans="1:19" x14ac:dyDescent="0.15">
      <c r="A217" s="60"/>
      <c r="B217" s="21" t="s">
        <v>22</v>
      </c>
      <c r="C217" s="21">
        <f>[62]PARS_syn_stat!B217</f>
        <v>9</v>
      </c>
      <c r="D217" s="21">
        <f>[62]PARS_syn_stat!C217</f>
        <v>8</v>
      </c>
      <c r="E217" s="22">
        <f t="shared" ref="E217:F217" si="218">C217/(C216+C217)</f>
        <v>0.26470588235294118</v>
      </c>
      <c r="F217" s="22">
        <f t="shared" si="218"/>
        <v>0.36363636363636365</v>
      </c>
      <c r="I217" s="60"/>
      <c r="J217" s="21" t="s">
        <v>22</v>
      </c>
      <c r="K217" s="22">
        <f t="shared" si="195"/>
        <v>0.26470588235294118</v>
      </c>
      <c r="L217" s="22">
        <f t="shared" si="195"/>
        <v>0.36363636363636365</v>
      </c>
      <c r="P217" s="24"/>
      <c r="Q217" s="24"/>
      <c r="R217" s="24"/>
      <c r="S217" s="24"/>
    </row>
    <row r="218" spans="1:19" x14ac:dyDescent="0.15">
      <c r="A218" s="60">
        <v>109</v>
      </c>
      <c r="B218" s="21" t="s">
        <v>21</v>
      </c>
      <c r="C218" s="21">
        <f>[62]PARS_syn_stat!B218</f>
        <v>28</v>
      </c>
      <c r="D218" s="21">
        <f>[62]PARS_syn_stat!C218</f>
        <v>17</v>
      </c>
      <c r="E218" s="22">
        <f t="shared" ref="E218:F218" si="219">C218/(C218+C219)</f>
        <v>0.56000000000000005</v>
      </c>
      <c r="F218" s="22">
        <f t="shared" si="219"/>
        <v>0.56666666666666665</v>
      </c>
      <c r="I218" s="60">
        <v>109</v>
      </c>
      <c r="J218" s="21" t="s">
        <v>21</v>
      </c>
      <c r="K218" s="22">
        <f t="shared" si="195"/>
        <v>0.56000000000000005</v>
      </c>
      <c r="L218" s="22">
        <f t="shared" si="195"/>
        <v>0.56666666666666665</v>
      </c>
      <c r="P218" s="24"/>
      <c r="Q218" s="24"/>
      <c r="R218" s="24"/>
      <c r="S218" s="24"/>
    </row>
    <row r="219" spans="1:19" x14ac:dyDescent="0.15">
      <c r="A219" s="60"/>
      <c r="B219" s="21" t="s">
        <v>22</v>
      </c>
      <c r="C219" s="21">
        <f>[62]PARS_syn_stat!B219</f>
        <v>22</v>
      </c>
      <c r="D219" s="21">
        <f>[62]PARS_syn_stat!C219</f>
        <v>13</v>
      </c>
      <c r="E219" s="22">
        <f t="shared" ref="E219:F219" si="220">C219/(C218+C219)</f>
        <v>0.44</v>
      </c>
      <c r="F219" s="22">
        <f t="shared" si="220"/>
        <v>0.43333333333333335</v>
      </c>
      <c r="I219" s="60"/>
      <c r="J219" s="21" t="s">
        <v>22</v>
      </c>
      <c r="K219" s="22">
        <f t="shared" si="195"/>
        <v>0.44</v>
      </c>
      <c r="L219" s="22">
        <f t="shared" si="195"/>
        <v>0.43333333333333335</v>
      </c>
      <c r="P219" s="24"/>
      <c r="Q219" s="24"/>
      <c r="R219" s="24"/>
      <c r="S219" s="24"/>
    </row>
    <row r="220" spans="1:19" x14ac:dyDescent="0.15">
      <c r="A220" s="60">
        <v>110</v>
      </c>
      <c r="B220" s="21" t="s">
        <v>21</v>
      </c>
      <c r="C220" s="21">
        <f>[62]PARS_syn_stat!B220</f>
        <v>17</v>
      </c>
      <c r="D220" s="21">
        <f>[62]PARS_syn_stat!C220</f>
        <v>16</v>
      </c>
      <c r="E220" s="22">
        <f t="shared" ref="E220:F220" si="221">C220/(C220+C221)</f>
        <v>0.51515151515151514</v>
      </c>
      <c r="F220" s="22">
        <f t="shared" si="221"/>
        <v>0.55172413793103448</v>
      </c>
      <c r="I220" s="60">
        <v>110</v>
      </c>
      <c r="J220" s="21" t="s">
        <v>21</v>
      </c>
      <c r="K220" s="22">
        <f t="shared" si="195"/>
        <v>0.51515151515151514</v>
      </c>
      <c r="L220" s="22">
        <f t="shared" si="195"/>
        <v>0.55172413793103448</v>
      </c>
      <c r="P220" s="24"/>
      <c r="Q220" s="24"/>
      <c r="R220" s="24"/>
      <c r="S220" s="24"/>
    </row>
    <row r="221" spans="1:19" x14ac:dyDescent="0.15">
      <c r="A221" s="60"/>
      <c r="B221" s="21" t="s">
        <v>22</v>
      </c>
      <c r="C221" s="21">
        <f>[62]PARS_syn_stat!B221</f>
        <v>16</v>
      </c>
      <c r="D221" s="21">
        <f>[62]PARS_syn_stat!C221</f>
        <v>13</v>
      </c>
      <c r="E221" s="22">
        <f t="shared" ref="E221:F221" si="222">C221/(C220+C221)</f>
        <v>0.48484848484848486</v>
      </c>
      <c r="F221" s="22">
        <f t="shared" si="222"/>
        <v>0.44827586206896552</v>
      </c>
      <c r="I221" s="60"/>
      <c r="J221" s="21" t="s">
        <v>22</v>
      </c>
      <c r="K221" s="22">
        <f t="shared" si="195"/>
        <v>0.48484848484848486</v>
      </c>
      <c r="L221" s="22">
        <f t="shared" si="195"/>
        <v>0.44827586206896552</v>
      </c>
      <c r="P221" s="24"/>
      <c r="Q221" s="24"/>
      <c r="R221" s="24"/>
      <c r="S221" s="24"/>
    </row>
    <row r="222" spans="1:19" x14ac:dyDescent="0.15">
      <c r="A222" s="60">
        <v>111</v>
      </c>
      <c r="B222" s="21" t="s">
        <v>21</v>
      </c>
      <c r="C222" s="21">
        <f>[62]PARS_syn_stat!B222</f>
        <v>39</v>
      </c>
      <c r="D222" s="21">
        <f>[62]PARS_syn_stat!C222</f>
        <v>23</v>
      </c>
      <c r="E222" s="22">
        <f t="shared" ref="E222:F222" si="223">C222/(C222+C223)</f>
        <v>0.78</v>
      </c>
      <c r="F222" s="22">
        <f t="shared" si="223"/>
        <v>0.56097560975609762</v>
      </c>
      <c r="I222" s="60">
        <v>111</v>
      </c>
      <c r="J222" s="21" t="s">
        <v>21</v>
      </c>
      <c r="K222" s="22">
        <f t="shared" si="195"/>
        <v>0.78</v>
      </c>
      <c r="L222" s="22">
        <f t="shared" si="195"/>
        <v>0.56097560975609762</v>
      </c>
      <c r="P222" s="24"/>
      <c r="Q222" s="24"/>
      <c r="R222" s="24"/>
      <c r="S222" s="24"/>
    </row>
    <row r="223" spans="1:19" x14ac:dyDescent="0.15">
      <c r="A223" s="60"/>
      <c r="B223" s="21" t="s">
        <v>22</v>
      </c>
      <c r="C223" s="21">
        <f>[62]PARS_syn_stat!B223</f>
        <v>11</v>
      </c>
      <c r="D223" s="21">
        <f>[62]PARS_syn_stat!C223</f>
        <v>18</v>
      </c>
      <c r="E223" s="22">
        <f t="shared" ref="E223:F223" si="224">C223/(C222+C223)</f>
        <v>0.22</v>
      </c>
      <c r="F223" s="22">
        <f t="shared" si="224"/>
        <v>0.43902439024390244</v>
      </c>
      <c r="I223" s="60"/>
      <c r="J223" s="21" t="s">
        <v>22</v>
      </c>
      <c r="K223" s="22">
        <f t="shared" si="195"/>
        <v>0.22</v>
      </c>
      <c r="L223" s="22">
        <f t="shared" si="195"/>
        <v>0.43902439024390244</v>
      </c>
      <c r="P223" s="24"/>
      <c r="Q223" s="24"/>
      <c r="R223" s="24"/>
      <c r="S223" s="24"/>
    </row>
    <row r="224" spans="1:19" x14ac:dyDescent="0.15">
      <c r="A224" s="60">
        <v>112</v>
      </c>
      <c r="B224" s="21" t="s">
        <v>21</v>
      </c>
      <c r="C224" s="21">
        <f>[62]PARS_syn_stat!B224</f>
        <v>41</v>
      </c>
      <c r="D224" s="21">
        <f>[62]PARS_syn_stat!C224</f>
        <v>20</v>
      </c>
      <c r="E224" s="22">
        <f t="shared" ref="E224:F224" si="225">C224/(C224+C225)</f>
        <v>0.65079365079365081</v>
      </c>
      <c r="F224" s="22">
        <f t="shared" si="225"/>
        <v>0.5</v>
      </c>
      <c r="I224" s="60">
        <v>112</v>
      </c>
      <c r="J224" s="21" t="s">
        <v>21</v>
      </c>
      <c r="K224" s="22">
        <f t="shared" si="195"/>
        <v>0.65079365079365081</v>
      </c>
      <c r="L224" s="22">
        <f t="shared" si="195"/>
        <v>0.5</v>
      </c>
      <c r="P224" s="24"/>
      <c r="Q224" s="24"/>
      <c r="R224" s="24"/>
      <c r="S224" s="24"/>
    </row>
    <row r="225" spans="1:19" x14ac:dyDescent="0.15">
      <c r="A225" s="60"/>
      <c r="B225" s="21" t="s">
        <v>22</v>
      </c>
      <c r="C225" s="21">
        <f>[62]PARS_syn_stat!B225</f>
        <v>22</v>
      </c>
      <c r="D225" s="21">
        <f>[62]PARS_syn_stat!C225</f>
        <v>20</v>
      </c>
      <c r="E225" s="22">
        <f t="shared" ref="E225:F225" si="226">C225/(C224+C225)</f>
        <v>0.34920634920634919</v>
      </c>
      <c r="F225" s="22">
        <f t="shared" si="226"/>
        <v>0.5</v>
      </c>
      <c r="I225" s="60"/>
      <c r="J225" s="21" t="s">
        <v>22</v>
      </c>
      <c r="K225" s="22">
        <f t="shared" si="195"/>
        <v>0.34920634920634919</v>
      </c>
      <c r="L225" s="22">
        <f t="shared" si="195"/>
        <v>0.5</v>
      </c>
      <c r="P225" s="24"/>
      <c r="Q225" s="24"/>
      <c r="R225" s="24"/>
      <c r="S225" s="24"/>
    </row>
    <row r="226" spans="1:19" x14ac:dyDescent="0.15">
      <c r="A226" s="60">
        <v>113</v>
      </c>
      <c r="B226" s="21" t="s">
        <v>21</v>
      </c>
      <c r="C226" s="21">
        <f>[62]PARS_syn_stat!B226</f>
        <v>33</v>
      </c>
      <c r="D226" s="21">
        <f>[62]PARS_syn_stat!C226</f>
        <v>22</v>
      </c>
      <c r="E226" s="22">
        <f t="shared" ref="E226:F226" si="227">C226/(C226+C227)</f>
        <v>0.66</v>
      </c>
      <c r="F226" s="22">
        <f t="shared" si="227"/>
        <v>0.70967741935483875</v>
      </c>
      <c r="I226" s="60">
        <v>113</v>
      </c>
      <c r="J226" s="21" t="s">
        <v>21</v>
      </c>
      <c r="K226" s="22">
        <f t="shared" si="195"/>
        <v>0.66</v>
      </c>
      <c r="L226" s="22">
        <f t="shared" si="195"/>
        <v>0.70967741935483875</v>
      </c>
      <c r="P226" s="24"/>
      <c r="Q226" s="24"/>
      <c r="R226" s="24"/>
      <c r="S226" s="24"/>
    </row>
    <row r="227" spans="1:19" x14ac:dyDescent="0.15">
      <c r="A227" s="60"/>
      <c r="B227" s="21" t="s">
        <v>22</v>
      </c>
      <c r="C227" s="21">
        <f>[62]PARS_syn_stat!B227</f>
        <v>17</v>
      </c>
      <c r="D227" s="21">
        <f>[62]PARS_syn_stat!C227</f>
        <v>9</v>
      </c>
      <c r="E227" s="22">
        <f t="shared" ref="E227:F227" si="228">C227/(C226+C227)</f>
        <v>0.34</v>
      </c>
      <c r="F227" s="22">
        <f t="shared" si="228"/>
        <v>0.29032258064516131</v>
      </c>
      <c r="I227" s="60"/>
      <c r="J227" s="21" t="s">
        <v>22</v>
      </c>
      <c r="K227" s="22">
        <f t="shared" si="195"/>
        <v>0.34</v>
      </c>
      <c r="L227" s="22">
        <f t="shared" si="195"/>
        <v>0.29032258064516131</v>
      </c>
      <c r="P227" s="24"/>
      <c r="Q227" s="24"/>
      <c r="R227" s="24"/>
      <c r="S227" s="24"/>
    </row>
    <row r="228" spans="1:19" x14ac:dyDescent="0.15">
      <c r="A228" s="60">
        <v>114</v>
      </c>
      <c r="B228" s="21" t="s">
        <v>21</v>
      </c>
      <c r="C228" s="21">
        <f>[62]PARS_syn_stat!B228</f>
        <v>42</v>
      </c>
      <c r="D228" s="21">
        <f>[62]PARS_syn_stat!C228</f>
        <v>25</v>
      </c>
      <c r="E228" s="22">
        <f t="shared" ref="E228:F228" si="229">C228/(C228+C229)</f>
        <v>0.62686567164179108</v>
      </c>
      <c r="F228" s="22">
        <f t="shared" si="229"/>
        <v>0.625</v>
      </c>
      <c r="I228" s="60">
        <v>114</v>
      </c>
      <c r="J228" s="21" t="s">
        <v>21</v>
      </c>
      <c r="K228" s="22">
        <f t="shared" si="195"/>
        <v>0.62686567164179108</v>
      </c>
      <c r="L228" s="22">
        <f t="shared" si="195"/>
        <v>0.625</v>
      </c>
      <c r="P228" s="24"/>
      <c r="Q228" s="24"/>
      <c r="R228" s="24"/>
      <c r="S228" s="24"/>
    </row>
    <row r="229" spans="1:19" x14ac:dyDescent="0.15">
      <c r="A229" s="60"/>
      <c r="B229" s="21" t="s">
        <v>22</v>
      </c>
      <c r="C229" s="21">
        <f>[62]PARS_syn_stat!B229</f>
        <v>25</v>
      </c>
      <c r="D229" s="21">
        <f>[62]PARS_syn_stat!C229</f>
        <v>15</v>
      </c>
      <c r="E229" s="22">
        <f t="shared" ref="E229:F229" si="230">C229/(C228+C229)</f>
        <v>0.37313432835820898</v>
      </c>
      <c r="F229" s="22">
        <f t="shared" si="230"/>
        <v>0.375</v>
      </c>
      <c r="I229" s="60"/>
      <c r="J229" s="21" t="s">
        <v>22</v>
      </c>
      <c r="K229" s="22">
        <f t="shared" si="195"/>
        <v>0.37313432835820898</v>
      </c>
      <c r="L229" s="22">
        <f t="shared" si="195"/>
        <v>0.375</v>
      </c>
      <c r="P229" s="24"/>
      <c r="Q229" s="24"/>
      <c r="R229" s="24"/>
      <c r="S229" s="24"/>
    </row>
    <row r="230" spans="1:19" x14ac:dyDescent="0.15">
      <c r="A230" s="60">
        <v>115</v>
      </c>
      <c r="B230" s="21" t="s">
        <v>21</v>
      </c>
      <c r="C230" s="21">
        <f>[62]PARS_syn_stat!B230</f>
        <v>45</v>
      </c>
      <c r="D230" s="21">
        <f>[62]PARS_syn_stat!C230</f>
        <v>23</v>
      </c>
      <c r="E230" s="22">
        <f t="shared" ref="E230:F230" si="231">C230/(C230+C231)</f>
        <v>0.6428571428571429</v>
      </c>
      <c r="F230" s="22">
        <f t="shared" si="231"/>
        <v>0.51111111111111107</v>
      </c>
      <c r="I230" s="60">
        <v>115</v>
      </c>
      <c r="J230" s="21" t="s">
        <v>21</v>
      </c>
      <c r="K230" s="22">
        <f t="shared" si="195"/>
        <v>0.6428571428571429</v>
      </c>
      <c r="L230" s="22">
        <f t="shared" si="195"/>
        <v>0.51111111111111107</v>
      </c>
      <c r="P230" s="24"/>
      <c r="Q230" s="24"/>
      <c r="R230" s="24"/>
      <c r="S230" s="24"/>
    </row>
    <row r="231" spans="1:19" x14ac:dyDescent="0.15">
      <c r="A231" s="60"/>
      <c r="B231" s="21" t="s">
        <v>22</v>
      </c>
      <c r="C231" s="21">
        <f>[62]PARS_syn_stat!B231</f>
        <v>25</v>
      </c>
      <c r="D231" s="21">
        <f>[62]PARS_syn_stat!C231</f>
        <v>22</v>
      </c>
      <c r="E231" s="22">
        <f t="shared" ref="E231:F231" si="232">C231/(C230+C231)</f>
        <v>0.35714285714285715</v>
      </c>
      <c r="F231" s="22">
        <f t="shared" si="232"/>
        <v>0.48888888888888887</v>
      </c>
      <c r="I231" s="60"/>
      <c r="J231" s="21" t="s">
        <v>22</v>
      </c>
      <c r="K231" s="22">
        <f t="shared" si="195"/>
        <v>0.35714285714285715</v>
      </c>
      <c r="L231" s="22">
        <f t="shared" si="195"/>
        <v>0.48888888888888887</v>
      </c>
      <c r="P231" s="24"/>
      <c r="Q231" s="24"/>
      <c r="R231" s="24"/>
      <c r="S231" s="24"/>
    </row>
    <row r="232" spans="1:19" x14ac:dyDescent="0.15">
      <c r="A232" s="60">
        <v>116</v>
      </c>
      <c r="B232" s="21" t="s">
        <v>21</v>
      </c>
      <c r="C232" s="21">
        <f>[62]PARS_syn_stat!B232</f>
        <v>21</v>
      </c>
      <c r="D232" s="21">
        <f>[62]PARS_syn_stat!C232</f>
        <v>22</v>
      </c>
      <c r="E232" s="22">
        <f t="shared" ref="E232:F232" si="233">C232/(C232+C233)</f>
        <v>0.55263157894736847</v>
      </c>
      <c r="F232" s="22">
        <f t="shared" si="233"/>
        <v>0.62857142857142856</v>
      </c>
      <c r="I232" s="60">
        <v>116</v>
      </c>
      <c r="J232" s="21" t="s">
        <v>21</v>
      </c>
      <c r="K232" s="22">
        <f t="shared" si="195"/>
        <v>0.55263157894736847</v>
      </c>
      <c r="L232" s="22">
        <f t="shared" si="195"/>
        <v>0.62857142857142856</v>
      </c>
      <c r="P232" s="24"/>
      <c r="Q232" s="24"/>
      <c r="R232" s="24"/>
      <c r="S232" s="24"/>
    </row>
    <row r="233" spans="1:19" x14ac:dyDescent="0.15">
      <c r="A233" s="60"/>
      <c r="B233" s="21" t="s">
        <v>22</v>
      </c>
      <c r="C233" s="21">
        <f>[62]PARS_syn_stat!B233</f>
        <v>17</v>
      </c>
      <c r="D233" s="21">
        <f>[62]PARS_syn_stat!C233</f>
        <v>13</v>
      </c>
      <c r="E233" s="22">
        <f t="shared" ref="E233:F233" si="234">C233/(C232+C233)</f>
        <v>0.44736842105263158</v>
      </c>
      <c r="F233" s="22">
        <f t="shared" si="234"/>
        <v>0.37142857142857144</v>
      </c>
      <c r="I233" s="60"/>
      <c r="J233" s="21" t="s">
        <v>22</v>
      </c>
      <c r="K233" s="22">
        <f t="shared" si="195"/>
        <v>0.44736842105263158</v>
      </c>
      <c r="L233" s="22">
        <f t="shared" si="195"/>
        <v>0.37142857142857144</v>
      </c>
      <c r="P233" s="24"/>
      <c r="Q233" s="24"/>
      <c r="R233" s="24"/>
      <c r="S233" s="24"/>
    </row>
    <row r="234" spans="1:19" x14ac:dyDescent="0.15">
      <c r="A234" s="60">
        <v>117</v>
      </c>
      <c r="B234" s="21" t="s">
        <v>21</v>
      </c>
      <c r="C234" s="21">
        <f>[62]PARS_syn_stat!B234</f>
        <v>41</v>
      </c>
      <c r="D234" s="21">
        <f>[62]PARS_syn_stat!C234</f>
        <v>23</v>
      </c>
      <c r="E234" s="22">
        <f t="shared" ref="E234:F234" si="235">C234/(C234+C235)</f>
        <v>0.640625</v>
      </c>
      <c r="F234" s="22">
        <f t="shared" si="235"/>
        <v>0.52272727272727271</v>
      </c>
      <c r="I234" s="60">
        <v>117</v>
      </c>
      <c r="J234" s="21" t="s">
        <v>21</v>
      </c>
      <c r="K234" s="22">
        <f t="shared" si="195"/>
        <v>0.640625</v>
      </c>
      <c r="L234" s="22">
        <f t="shared" si="195"/>
        <v>0.52272727272727271</v>
      </c>
      <c r="P234" s="24"/>
      <c r="Q234" s="24"/>
      <c r="R234" s="24"/>
      <c r="S234" s="24"/>
    </row>
    <row r="235" spans="1:19" x14ac:dyDescent="0.15">
      <c r="A235" s="60"/>
      <c r="B235" s="21" t="s">
        <v>22</v>
      </c>
      <c r="C235" s="21">
        <f>[62]PARS_syn_stat!B235</f>
        <v>23</v>
      </c>
      <c r="D235" s="21">
        <f>[62]PARS_syn_stat!C235</f>
        <v>21</v>
      </c>
      <c r="E235" s="22">
        <f t="shared" ref="E235:F235" si="236">C235/(C234+C235)</f>
        <v>0.359375</v>
      </c>
      <c r="F235" s="22">
        <f t="shared" si="236"/>
        <v>0.47727272727272729</v>
      </c>
      <c r="I235" s="60"/>
      <c r="J235" s="21" t="s">
        <v>22</v>
      </c>
      <c r="K235" s="22">
        <f t="shared" si="195"/>
        <v>0.359375</v>
      </c>
      <c r="L235" s="22">
        <f t="shared" si="195"/>
        <v>0.47727272727272729</v>
      </c>
      <c r="P235" s="24"/>
      <c r="Q235" s="24"/>
      <c r="R235" s="24"/>
      <c r="S235" s="24"/>
    </row>
    <row r="236" spans="1:19" x14ac:dyDescent="0.15">
      <c r="A236" s="60">
        <v>118</v>
      </c>
      <c r="B236" s="21" t="s">
        <v>21</v>
      </c>
      <c r="C236" s="21">
        <f>[62]PARS_syn_stat!B236</f>
        <v>54</v>
      </c>
      <c r="D236" s="21">
        <f>[62]PARS_syn_stat!C236</f>
        <v>27</v>
      </c>
      <c r="E236" s="22">
        <f t="shared" ref="E236:F236" si="237">C236/(C236+C237)</f>
        <v>0.66666666666666663</v>
      </c>
      <c r="F236" s="22">
        <f t="shared" si="237"/>
        <v>0.62790697674418605</v>
      </c>
      <c r="I236" s="60">
        <v>118</v>
      </c>
      <c r="J236" s="21" t="s">
        <v>21</v>
      </c>
      <c r="K236" s="22">
        <f t="shared" si="195"/>
        <v>0.66666666666666663</v>
      </c>
      <c r="L236" s="22">
        <f t="shared" si="195"/>
        <v>0.62790697674418605</v>
      </c>
      <c r="P236" s="24"/>
      <c r="Q236" s="24"/>
      <c r="R236" s="24"/>
      <c r="S236" s="24"/>
    </row>
    <row r="237" spans="1:19" x14ac:dyDescent="0.15">
      <c r="A237" s="60"/>
      <c r="B237" s="21" t="s">
        <v>22</v>
      </c>
      <c r="C237" s="21">
        <f>[62]PARS_syn_stat!B237</f>
        <v>27</v>
      </c>
      <c r="D237" s="21">
        <f>[62]PARS_syn_stat!C237</f>
        <v>16</v>
      </c>
      <c r="E237" s="22">
        <f t="shared" ref="E237:F237" si="238">C237/(C236+C237)</f>
        <v>0.33333333333333331</v>
      </c>
      <c r="F237" s="22">
        <f t="shared" si="238"/>
        <v>0.37209302325581395</v>
      </c>
      <c r="I237" s="60"/>
      <c r="J237" s="21" t="s">
        <v>22</v>
      </c>
      <c r="K237" s="22">
        <f t="shared" si="195"/>
        <v>0.33333333333333331</v>
      </c>
      <c r="L237" s="22">
        <f t="shared" si="195"/>
        <v>0.37209302325581395</v>
      </c>
      <c r="P237" s="24"/>
      <c r="Q237" s="24"/>
      <c r="R237" s="24"/>
      <c r="S237" s="24"/>
    </row>
    <row r="238" spans="1:19" x14ac:dyDescent="0.15">
      <c r="A238" s="60">
        <v>119</v>
      </c>
      <c r="B238" s="21" t="s">
        <v>21</v>
      </c>
      <c r="C238" s="21">
        <f>[62]PARS_syn_stat!B238</f>
        <v>54</v>
      </c>
      <c r="D238" s="21">
        <f>[62]PARS_syn_stat!C238</f>
        <v>25</v>
      </c>
      <c r="E238" s="22">
        <f t="shared" ref="E238:F238" si="239">C238/(C238+C239)</f>
        <v>0.66666666666666663</v>
      </c>
      <c r="F238" s="22">
        <f t="shared" si="239"/>
        <v>0.56818181818181823</v>
      </c>
      <c r="I238" s="60">
        <v>119</v>
      </c>
      <c r="J238" s="21" t="s">
        <v>21</v>
      </c>
      <c r="K238" s="22">
        <f t="shared" si="195"/>
        <v>0.66666666666666663</v>
      </c>
      <c r="L238" s="22">
        <f t="shared" si="195"/>
        <v>0.56818181818181823</v>
      </c>
      <c r="P238" s="24"/>
      <c r="Q238" s="24"/>
      <c r="R238" s="24"/>
      <c r="S238" s="24"/>
    </row>
    <row r="239" spans="1:19" x14ac:dyDescent="0.15">
      <c r="A239" s="60"/>
      <c r="B239" s="21" t="s">
        <v>22</v>
      </c>
      <c r="C239" s="21">
        <f>[62]PARS_syn_stat!B239</f>
        <v>27</v>
      </c>
      <c r="D239" s="21">
        <f>[62]PARS_syn_stat!C239</f>
        <v>19</v>
      </c>
      <c r="E239" s="22">
        <f t="shared" ref="E239:F239" si="240">C239/(C238+C239)</f>
        <v>0.33333333333333331</v>
      </c>
      <c r="F239" s="22">
        <f t="shared" si="240"/>
        <v>0.43181818181818182</v>
      </c>
      <c r="I239" s="60"/>
      <c r="J239" s="21" t="s">
        <v>22</v>
      </c>
      <c r="K239" s="22">
        <f t="shared" si="195"/>
        <v>0.33333333333333331</v>
      </c>
      <c r="L239" s="22">
        <f t="shared" si="195"/>
        <v>0.43181818181818182</v>
      </c>
      <c r="P239" s="24"/>
      <c r="Q239" s="24"/>
      <c r="R239" s="24"/>
      <c r="S239" s="24"/>
    </row>
    <row r="240" spans="1:19" x14ac:dyDescent="0.15">
      <c r="A240" s="60">
        <v>120</v>
      </c>
      <c r="B240" s="21" t="s">
        <v>21</v>
      </c>
      <c r="C240" s="21">
        <f>[62]PARS_syn_stat!B240</f>
        <v>33</v>
      </c>
      <c r="D240" s="21">
        <f>[62]PARS_syn_stat!C240</f>
        <v>16</v>
      </c>
      <c r="E240" s="22">
        <f t="shared" ref="E240:F240" si="241">C240/(C240+C241)</f>
        <v>0.67346938775510201</v>
      </c>
      <c r="F240" s="22">
        <f t="shared" si="241"/>
        <v>0.48484848484848486</v>
      </c>
      <c r="I240" s="60">
        <v>120</v>
      </c>
      <c r="J240" s="21" t="s">
        <v>21</v>
      </c>
      <c r="K240" s="22">
        <f t="shared" si="195"/>
        <v>0.67346938775510201</v>
      </c>
      <c r="L240" s="22">
        <f t="shared" si="195"/>
        <v>0.48484848484848486</v>
      </c>
      <c r="P240" s="24"/>
      <c r="Q240" s="24"/>
      <c r="R240" s="24"/>
      <c r="S240" s="24"/>
    </row>
    <row r="241" spans="1:19" x14ac:dyDescent="0.15">
      <c r="A241" s="60"/>
      <c r="B241" s="21" t="s">
        <v>22</v>
      </c>
      <c r="C241" s="21">
        <f>[62]PARS_syn_stat!B241</f>
        <v>16</v>
      </c>
      <c r="D241" s="21">
        <f>[62]PARS_syn_stat!C241</f>
        <v>17</v>
      </c>
      <c r="E241" s="22">
        <f t="shared" ref="E241:F241" si="242">C241/(C240+C241)</f>
        <v>0.32653061224489793</v>
      </c>
      <c r="F241" s="22">
        <f t="shared" si="242"/>
        <v>0.51515151515151514</v>
      </c>
      <c r="I241" s="60"/>
      <c r="J241" s="21" t="s">
        <v>22</v>
      </c>
      <c r="K241" s="22">
        <f t="shared" si="195"/>
        <v>0.32653061224489793</v>
      </c>
      <c r="L241" s="22">
        <f t="shared" si="195"/>
        <v>0.51515151515151514</v>
      </c>
      <c r="P241" s="24"/>
      <c r="Q241" s="24"/>
      <c r="R241" s="24"/>
      <c r="S241" s="24"/>
    </row>
    <row r="242" spans="1:19" x14ac:dyDescent="0.15">
      <c r="A242" s="60">
        <v>121</v>
      </c>
      <c r="B242" s="21" t="s">
        <v>21</v>
      </c>
      <c r="C242" s="21">
        <f>[62]PARS_syn_stat!B242</f>
        <v>40</v>
      </c>
      <c r="D242" s="21">
        <f>[62]PARS_syn_stat!C242</f>
        <v>20</v>
      </c>
      <c r="E242" s="22">
        <f t="shared" ref="E242:F242" si="243">C242/(C242+C243)</f>
        <v>0.58823529411764708</v>
      </c>
      <c r="F242" s="22">
        <f t="shared" si="243"/>
        <v>0.54054054054054057</v>
      </c>
      <c r="I242" s="60">
        <v>121</v>
      </c>
      <c r="J242" s="21" t="s">
        <v>21</v>
      </c>
      <c r="K242" s="22">
        <f t="shared" si="195"/>
        <v>0.58823529411764708</v>
      </c>
      <c r="L242" s="22">
        <f t="shared" si="195"/>
        <v>0.54054054054054057</v>
      </c>
      <c r="P242" s="24"/>
      <c r="Q242" s="24"/>
      <c r="R242" s="24"/>
      <c r="S242" s="24"/>
    </row>
    <row r="243" spans="1:19" x14ac:dyDescent="0.15">
      <c r="A243" s="60"/>
      <c r="B243" s="21" t="s">
        <v>22</v>
      </c>
      <c r="C243" s="21">
        <f>[62]PARS_syn_stat!B243</f>
        <v>28</v>
      </c>
      <c r="D243" s="21">
        <f>[62]PARS_syn_stat!C243</f>
        <v>17</v>
      </c>
      <c r="E243" s="22">
        <f t="shared" ref="E243:F243" si="244">C243/(C242+C243)</f>
        <v>0.41176470588235292</v>
      </c>
      <c r="F243" s="22">
        <f t="shared" si="244"/>
        <v>0.45945945945945948</v>
      </c>
      <c r="I243" s="60"/>
      <c r="J243" s="21" t="s">
        <v>22</v>
      </c>
      <c r="K243" s="22">
        <f t="shared" si="195"/>
        <v>0.41176470588235292</v>
      </c>
      <c r="L243" s="22">
        <f t="shared" si="195"/>
        <v>0.45945945945945948</v>
      </c>
      <c r="P243" s="24"/>
      <c r="Q243" s="24"/>
      <c r="R243" s="24"/>
      <c r="S243" s="24"/>
    </row>
    <row r="244" spans="1:19" x14ac:dyDescent="0.15">
      <c r="A244" s="60">
        <v>122</v>
      </c>
      <c r="B244" s="21" t="s">
        <v>21</v>
      </c>
      <c r="C244" s="21">
        <f>[62]PARS_syn_stat!B244</f>
        <v>70</v>
      </c>
      <c r="D244" s="21">
        <f>[62]PARS_syn_stat!C244</f>
        <v>31</v>
      </c>
      <c r="E244" s="22">
        <f t="shared" ref="E244:F244" si="245">C244/(C244+C245)</f>
        <v>0.66666666666666663</v>
      </c>
      <c r="F244" s="22">
        <f t="shared" si="245"/>
        <v>0.58490566037735847</v>
      </c>
      <c r="I244" s="60">
        <v>122</v>
      </c>
      <c r="J244" s="21" t="s">
        <v>21</v>
      </c>
      <c r="K244" s="22">
        <f t="shared" si="195"/>
        <v>0.66666666666666663</v>
      </c>
      <c r="L244" s="22">
        <f t="shared" si="195"/>
        <v>0.58490566037735847</v>
      </c>
      <c r="P244" s="24"/>
      <c r="Q244" s="24"/>
      <c r="R244" s="24"/>
      <c r="S244" s="24"/>
    </row>
    <row r="245" spans="1:19" x14ac:dyDescent="0.15">
      <c r="A245" s="60"/>
      <c r="B245" s="21" t="s">
        <v>22</v>
      </c>
      <c r="C245" s="21">
        <f>[62]PARS_syn_stat!B245</f>
        <v>35</v>
      </c>
      <c r="D245" s="21">
        <f>[62]PARS_syn_stat!C245</f>
        <v>22</v>
      </c>
      <c r="E245" s="22">
        <f t="shared" ref="E245:F245" si="246">C245/(C244+C245)</f>
        <v>0.33333333333333331</v>
      </c>
      <c r="F245" s="22">
        <f t="shared" si="246"/>
        <v>0.41509433962264153</v>
      </c>
      <c r="I245" s="60"/>
      <c r="J245" s="21" t="s">
        <v>22</v>
      </c>
      <c r="K245" s="22">
        <f t="shared" si="195"/>
        <v>0.33333333333333331</v>
      </c>
      <c r="L245" s="22">
        <f t="shared" si="195"/>
        <v>0.41509433962264153</v>
      </c>
      <c r="P245" s="24"/>
      <c r="Q245" s="24"/>
      <c r="R245" s="24"/>
      <c r="S245" s="24"/>
    </row>
    <row r="246" spans="1:19" x14ac:dyDescent="0.15">
      <c r="A246" s="60">
        <v>123</v>
      </c>
      <c r="B246" s="21" t="s">
        <v>21</v>
      </c>
      <c r="C246" s="21">
        <f>[62]PARS_syn_stat!B246</f>
        <v>58</v>
      </c>
      <c r="D246" s="21">
        <f>[62]PARS_syn_stat!C246</f>
        <v>21</v>
      </c>
      <c r="E246" s="22">
        <f t="shared" ref="E246:F246" si="247">C246/(C246+C247)</f>
        <v>0.61052631578947369</v>
      </c>
      <c r="F246" s="22">
        <f t="shared" si="247"/>
        <v>0.44680851063829785</v>
      </c>
      <c r="I246" s="60">
        <v>123</v>
      </c>
      <c r="J246" s="21" t="s">
        <v>21</v>
      </c>
      <c r="K246" s="22">
        <f t="shared" si="195"/>
        <v>0.61052631578947369</v>
      </c>
      <c r="L246" s="22">
        <f t="shared" si="195"/>
        <v>0.44680851063829785</v>
      </c>
      <c r="P246" s="24"/>
      <c r="Q246" s="24"/>
      <c r="R246" s="24"/>
      <c r="S246" s="24"/>
    </row>
    <row r="247" spans="1:19" x14ac:dyDescent="0.15">
      <c r="A247" s="60"/>
      <c r="B247" s="21" t="s">
        <v>22</v>
      </c>
      <c r="C247" s="21">
        <f>[62]PARS_syn_stat!B247</f>
        <v>37</v>
      </c>
      <c r="D247" s="21">
        <f>[62]PARS_syn_stat!C247</f>
        <v>26</v>
      </c>
      <c r="E247" s="22">
        <f t="shared" ref="E247:F247" si="248">C247/(C246+C247)</f>
        <v>0.38947368421052631</v>
      </c>
      <c r="F247" s="22">
        <f t="shared" si="248"/>
        <v>0.55319148936170215</v>
      </c>
      <c r="I247" s="60"/>
      <c r="J247" s="21" t="s">
        <v>22</v>
      </c>
      <c r="K247" s="22">
        <f t="shared" si="195"/>
        <v>0.38947368421052631</v>
      </c>
      <c r="L247" s="22">
        <f t="shared" si="195"/>
        <v>0.55319148936170215</v>
      </c>
      <c r="P247" s="24"/>
      <c r="Q247" s="24"/>
      <c r="R247" s="24"/>
      <c r="S247" s="24"/>
    </row>
    <row r="248" spans="1:19" x14ac:dyDescent="0.15">
      <c r="A248" s="60">
        <v>124</v>
      </c>
      <c r="B248" s="21" t="s">
        <v>21</v>
      </c>
      <c r="C248" s="21">
        <f>[62]PARS_syn_stat!B248</f>
        <v>74</v>
      </c>
      <c r="D248" s="21">
        <f>[62]PARS_syn_stat!C248</f>
        <v>36</v>
      </c>
      <c r="E248" s="22">
        <f t="shared" ref="E248:F248" si="249">C248/(C248+C249)</f>
        <v>0.65486725663716816</v>
      </c>
      <c r="F248" s="22">
        <f t="shared" si="249"/>
        <v>0.72</v>
      </c>
      <c r="I248" s="60">
        <v>124</v>
      </c>
      <c r="J248" s="21" t="s">
        <v>21</v>
      </c>
      <c r="K248" s="22">
        <f t="shared" si="195"/>
        <v>0.65486725663716816</v>
      </c>
      <c r="L248" s="22">
        <f t="shared" si="195"/>
        <v>0.72</v>
      </c>
      <c r="P248" s="24"/>
      <c r="Q248" s="24"/>
      <c r="R248" s="24"/>
      <c r="S248" s="24"/>
    </row>
    <row r="249" spans="1:19" x14ac:dyDescent="0.15">
      <c r="A249" s="60"/>
      <c r="B249" s="21" t="s">
        <v>22</v>
      </c>
      <c r="C249" s="21">
        <f>[62]PARS_syn_stat!B249</f>
        <v>39</v>
      </c>
      <c r="D249" s="21">
        <f>[62]PARS_syn_stat!C249</f>
        <v>14</v>
      </c>
      <c r="E249" s="22">
        <f t="shared" ref="E249:F249" si="250">C249/(C248+C249)</f>
        <v>0.34513274336283184</v>
      </c>
      <c r="F249" s="22">
        <f t="shared" si="250"/>
        <v>0.28000000000000003</v>
      </c>
      <c r="I249" s="60"/>
      <c r="J249" s="21" t="s">
        <v>22</v>
      </c>
      <c r="K249" s="22">
        <f t="shared" si="195"/>
        <v>0.34513274336283184</v>
      </c>
      <c r="L249" s="22">
        <f t="shared" si="195"/>
        <v>0.28000000000000003</v>
      </c>
      <c r="P249" s="24"/>
      <c r="Q249" s="24"/>
      <c r="R249" s="24"/>
      <c r="S249" s="24"/>
    </row>
    <row r="250" spans="1:19" x14ac:dyDescent="0.15">
      <c r="A250" s="60">
        <v>125</v>
      </c>
      <c r="B250" s="21" t="s">
        <v>21</v>
      </c>
      <c r="C250" s="21">
        <f>[62]PARS_syn_stat!B250</f>
        <v>106</v>
      </c>
      <c r="D250" s="21">
        <f>[62]PARS_syn_stat!C250</f>
        <v>65</v>
      </c>
      <c r="E250" s="22">
        <f t="shared" ref="E250:F250" si="251">C250/(C250+C251)</f>
        <v>0.58888888888888891</v>
      </c>
      <c r="F250" s="22">
        <f t="shared" si="251"/>
        <v>0.5855855855855856</v>
      </c>
      <c r="I250" s="60">
        <v>125</v>
      </c>
      <c r="J250" s="21" t="s">
        <v>21</v>
      </c>
      <c r="K250" s="22">
        <f t="shared" si="195"/>
        <v>0.58888888888888891</v>
      </c>
      <c r="L250" s="22">
        <f t="shared" si="195"/>
        <v>0.5855855855855856</v>
      </c>
      <c r="P250" s="24"/>
      <c r="Q250" s="24"/>
      <c r="R250" s="24"/>
      <c r="S250" s="24"/>
    </row>
    <row r="251" spans="1:19" x14ac:dyDescent="0.15">
      <c r="A251" s="60"/>
      <c r="B251" s="21" t="s">
        <v>22</v>
      </c>
      <c r="C251" s="21">
        <f>[62]PARS_syn_stat!B251</f>
        <v>74</v>
      </c>
      <c r="D251" s="21">
        <f>[62]PARS_syn_stat!C251</f>
        <v>46</v>
      </c>
      <c r="E251" s="22">
        <f t="shared" ref="E251:F251" si="252">C251/(C250+C251)</f>
        <v>0.41111111111111109</v>
      </c>
      <c r="F251" s="22">
        <f t="shared" si="252"/>
        <v>0.4144144144144144</v>
      </c>
      <c r="I251" s="60"/>
      <c r="J251" s="21" t="s">
        <v>22</v>
      </c>
      <c r="K251" s="22">
        <f t="shared" si="195"/>
        <v>0.41111111111111109</v>
      </c>
      <c r="L251" s="22">
        <f t="shared" si="195"/>
        <v>0.4144144144144144</v>
      </c>
      <c r="P251" s="24"/>
      <c r="Q251" s="24"/>
      <c r="R251" s="24"/>
      <c r="S251" s="24"/>
    </row>
    <row r="252" spans="1:19" x14ac:dyDescent="0.15">
      <c r="A252" s="60">
        <v>126</v>
      </c>
      <c r="B252" s="21" t="s">
        <v>21</v>
      </c>
      <c r="C252" s="21">
        <f>[62]PARS_syn_stat!B252</f>
        <v>135</v>
      </c>
      <c r="D252" s="21">
        <f>[62]PARS_syn_stat!C252</f>
        <v>47</v>
      </c>
      <c r="E252" s="22">
        <f t="shared" ref="E252:F252" si="253">C252/(C252+C253)</f>
        <v>0.64903846153846156</v>
      </c>
      <c r="F252" s="22">
        <f t="shared" si="253"/>
        <v>0.52222222222222225</v>
      </c>
      <c r="I252" s="60">
        <v>126</v>
      </c>
      <c r="J252" s="21" t="s">
        <v>21</v>
      </c>
      <c r="K252" s="22">
        <f t="shared" si="195"/>
        <v>0.64903846153846156</v>
      </c>
      <c r="L252" s="22">
        <f t="shared" si="195"/>
        <v>0.52222222222222225</v>
      </c>
      <c r="P252" s="24"/>
      <c r="Q252" s="24"/>
      <c r="R252" s="24"/>
      <c r="S252" s="24"/>
    </row>
    <row r="253" spans="1:19" x14ac:dyDescent="0.15">
      <c r="A253" s="60"/>
      <c r="B253" s="21" t="s">
        <v>22</v>
      </c>
      <c r="C253" s="21">
        <f>[62]PARS_syn_stat!B253</f>
        <v>73</v>
      </c>
      <c r="D253" s="21">
        <f>[62]PARS_syn_stat!C253</f>
        <v>43</v>
      </c>
      <c r="E253" s="22">
        <f t="shared" ref="E253:F253" si="254">C253/(C252+C253)</f>
        <v>0.35096153846153844</v>
      </c>
      <c r="F253" s="22">
        <f t="shared" si="254"/>
        <v>0.4777777777777778</v>
      </c>
      <c r="I253" s="60"/>
      <c r="J253" s="21" t="s">
        <v>22</v>
      </c>
      <c r="K253" s="22">
        <f t="shared" si="195"/>
        <v>0.35096153846153844</v>
      </c>
      <c r="L253" s="22">
        <f t="shared" si="195"/>
        <v>0.4777777777777778</v>
      </c>
      <c r="P253" s="24"/>
      <c r="Q253" s="24"/>
      <c r="R253" s="24"/>
      <c r="S253" s="24"/>
    </row>
    <row r="254" spans="1:19" x14ac:dyDescent="0.15">
      <c r="A254" s="60">
        <v>127</v>
      </c>
      <c r="B254" s="21" t="s">
        <v>21</v>
      </c>
      <c r="C254" s="21">
        <f>[62]PARS_syn_stat!B254</f>
        <v>340</v>
      </c>
      <c r="D254" s="21">
        <f>[62]PARS_syn_stat!C254</f>
        <v>195</v>
      </c>
      <c r="E254" s="22">
        <f t="shared" ref="E254:F254" si="255">C254/(C254+C255)</f>
        <v>0.63314711359404097</v>
      </c>
      <c r="F254" s="22">
        <f t="shared" si="255"/>
        <v>0.57863501483679525</v>
      </c>
      <c r="I254" s="60">
        <v>127</v>
      </c>
      <c r="J254" s="21" t="s">
        <v>21</v>
      </c>
      <c r="K254" s="22">
        <f t="shared" si="195"/>
        <v>0.63314711359404097</v>
      </c>
      <c r="L254" s="22">
        <f t="shared" si="195"/>
        <v>0.57863501483679525</v>
      </c>
      <c r="P254" s="24"/>
      <c r="Q254" s="24"/>
      <c r="R254" s="24"/>
      <c r="S254" s="24"/>
    </row>
    <row r="255" spans="1:19" x14ac:dyDescent="0.15">
      <c r="A255" s="60"/>
      <c r="B255" s="21" t="s">
        <v>22</v>
      </c>
      <c r="C255" s="21">
        <f>[62]PARS_syn_stat!B255</f>
        <v>197</v>
      </c>
      <c r="D255" s="21">
        <f>[62]PARS_syn_stat!C255</f>
        <v>142</v>
      </c>
      <c r="E255" s="22">
        <f t="shared" ref="E255:F255" si="256">C255/(C254+C255)</f>
        <v>0.36685288640595903</v>
      </c>
      <c r="F255" s="22">
        <f t="shared" si="256"/>
        <v>0.42136498516320475</v>
      </c>
      <c r="I255" s="60"/>
      <c r="J255" s="21" t="s">
        <v>22</v>
      </c>
      <c r="K255" s="22">
        <f t="shared" si="195"/>
        <v>0.36685288640595903</v>
      </c>
      <c r="L255" s="22">
        <f t="shared" si="195"/>
        <v>0.42136498516320475</v>
      </c>
      <c r="P255" s="24"/>
      <c r="Q255" s="24"/>
      <c r="R255" s="24"/>
      <c r="S255" s="24"/>
    </row>
  </sheetData>
  <mergeCells count="256">
    <mergeCell ref="P1:Q1"/>
    <mergeCell ref="R1:S1"/>
    <mergeCell ref="A2:A3"/>
    <mergeCell ref="I2:I3"/>
    <mergeCell ref="A4:A5"/>
    <mergeCell ref="I4:I5"/>
    <mergeCell ref="A12:A13"/>
    <mergeCell ref="I12:I13"/>
    <mergeCell ref="A14:A15"/>
    <mergeCell ref="I14:I15"/>
    <mergeCell ref="A16:A17"/>
    <mergeCell ref="I16:I17"/>
    <mergeCell ref="A6:A7"/>
    <mergeCell ref="I6:I7"/>
    <mergeCell ref="A8:A9"/>
    <mergeCell ref="I8:I9"/>
    <mergeCell ref="A10:A11"/>
    <mergeCell ref="I10:I11"/>
    <mergeCell ref="A24:A25"/>
    <mergeCell ref="I24:I25"/>
    <mergeCell ref="A26:A27"/>
    <mergeCell ref="I26:I27"/>
    <mergeCell ref="A28:A29"/>
    <mergeCell ref="I28:I29"/>
    <mergeCell ref="A18:A19"/>
    <mergeCell ref="I18:I19"/>
    <mergeCell ref="A20:A21"/>
    <mergeCell ref="I20:I21"/>
    <mergeCell ref="A22:A23"/>
    <mergeCell ref="I22:I23"/>
    <mergeCell ref="A36:A37"/>
    <mergeCell ref="I36:I37"/>
    <mergeCell ref="A38:A39"/>
    <mergeCell ref="I38:I39"/>
    <mergeCell ref="A40:A41"/>
    <mergeCell ref="I40:I41"/>
    <mergeCell ref="A30:A31"/>
    <mergeCell ref="I30:I31"/>
    <mergeCell ref="A32:A33"/>
    <mergeCell ref="I32:I33"/>
    <mergeCell ref="A34:A35"/>
    <mergeCell ref="I34:I35"/>
    <mergeCell ref="A48:A49"/>
    <mergeCell ref="I48:I49"/>
    <mergeCell ref="A50:A51"/>
    <mergeCell ref="I50:I51"/>
    <mergeCell ref="A52:A53"/>
    <mergeCell ref="I52:I53"/>
    <mergeCell ref="A42:A43"/>
    <mergeCell ref="I42:I43"/>
    <mergeCell ref="A44:A45"/>
    <mergeCell ref="I44:I45"/>
    <mergeCell ref="A46:A47"/>
    <mergeCell ref="I46:I47"/>
    <mergeCell ref="A60:A61"/>
    <mergeCell ref="I60:I61"/>
    <mergeCell ref="A62:A63"/>
    <mergeCell ref="I62:I63"/>
    <mergeCell ref="A64:A65"/>
    <mergeCell ref="I64:I65"/>
    <mergeCell ref="A54:A55"/>
    <mergeCell ref="I54:I55"/>
    <mergeCell ref="A56:A57"/>
    <mergeCell ref="I56:I57"/>
    <mergeCell ref="A58:A59"/>
    <mergeCell ref="I58:I59"/>
    <mergeCell ref="A72:A73"/>
    <mergeCell ref="I72:I73"/>
    <mergeCell ref="A74:A75"/>
    <mergeCell ref="I74:I75"/>
    <mergeCell ref="A76:A77"/>
    <mergeCell ref="I76:I77"/>
    <mergeCell ref="A66:A67"/>
    <mergeCell ref="I66:I67"/>
    <mergeCell ref="A68:A69"/>
    <mergeCell ref="I68:I69"/>
    <mergeCell ref="A70:A71"/>
    <mergeCell ref="I70:I71"/>
    <mergeCell ref="A84:A85"/>
    <mergeCell ref="I84:I85"/>
    <mergeCell ref="A86:A87"/>
    <mergeCell ref="I86:I87"/>
    <mergeCell ref="A88:A89"/>
    <mergeCell ref="I88:I89"/>
    <mergeCell ref="A78:A79"/>
    <mergeCell ref="I78:I79"/>
    <mergeCell ref="A80:A81"/>
    <mergeCell ref="I80:I81"/>
    <mergeCell ref="A82:A83"/>
    <mergeCell ref="I82:I83"/>
    <mergeCell ref="A96:A97"/>
    <mergeCell ref="I96:I97"/>
    <mergeCell ref="A98:A99"/>
    <mergeCell ref="I98:I99"/>
    <mergeCell ref="A100:A101"/>
    <mergeCell ref="I100:I101"/>
    <mergeCell ref="A90:A91"/>
    <mergeCell ref="I90:I91"/>
    <mergeCell ref="A92:A93"/>
    <mergeCell ref="I92:I93"/>
    <mergeCell ref="A94:A95"/>
    <mergeCell ref="I94:I95"/>
    <mergeCell ref="A108:A109"/>
    <mergeCell ref="I108:I109"/>
    <mergeCell ref="A110:A111"/>
    <mergeCell ref="I110:I111"/>
    <mergeCell ref="A112:A113"/>
    <mergeCell ref="I112:I113"/>
    <mergeCell ref="A102:A103"/>
    <mergeCell ref="I102:I103"/>
    <mergeCell ref="A104:A105"/>
    <mergeCell ref="I104:I105"/>
    <mergeCell ref="A106:A107"/>
    <mergeCell ref="I106:I107"/>
    <mergeCell ref="A120:A121"/>
    <mergeCell ref="I120:I121"/>
    <mergeCell ref="A122:A123"/>
    <mergeCell ref="I122:I123"/>
    <mergeCell ref="A124:A125"/>
    <mergeCell ref="I124:I125"/>
    <mergeCell ref="A114:A115"/>
    <mergeCell ref="I114:I115"/>
    <mergeCell ref="A116:A117"/>
    <mergeCell ref="I116:I117"/>
    <mergeCell ref="A118:A119"/>
    <mergeCell ref="I118:I119"/>
    <mergeCell ref="A132:A133"/>
    <mergeCell ref="I132:I133"/>
    <mergeCell ref="A134:A135"/>
    <mergeCell ref="I134:I135"/>
    <mergeCell ref="A136:A137"/>
    <mergeCell ref="I136:I137"/>
    <mergeCell ref="A126:A127"/>
    <mergeCell ref="I126:I127"/>
    <mergeCell ref="A128:A129"/>
    <mergeCell ref="I128:I129"/>
    <mergeCell ref="A130:A131"/>
    <mergeCell ref="I130:I131"/>
    <mergeCell ref="A144:A145"/>
    <mergeCell ref="I144:I145"/>
    <mergeCell ref="A146:A147"/>
    <mergeCell ref="I146:I147"/>
    <mergeCell ref="A148:A149"/>
    <mergeCell ref="I148:I149"/>
    <mergeCell ref="A138:A139"/>
    <mergeCell ref="I138:I139"/>
    <mergeCell ref="A140:A141"/>
    <mergeCell ref="I140:I141"/>
    <mergeCell ref="A142:A143"/>
    <mergeCell ref="I142:I143"/>
    <mergeCell ref="A156:A157"/>
    <mergeCell ref="I156:I157"/>
    <mergeCell ref="A158:A159"/>
    <mergeCell ref="I158:I159"/>
    <mergeCell ref="A160:A161"/>
    <mergeCell ref="I160:I161"/>
    <mergeCell ref="A150:A151"/>
    <mergeCell ref="I150:I151"/>
    <mergeCell ref="A152:A153"/>
    <mergeCell ref="I152:I153"/>
    <mergeCell ref="A154:A155"/>
    <mergeCell ref="I154:I155"/>
    <mergeCell ref="A168:A169"/>
    <mergeCell ref="I168:I169"/>
    <mergeCell ref="A170:A171"/>
    <mergeCell ref="I170:I171"/>
    <mergeCell ref="A172:A173"/>
    <mergeCell ref="I172:I173"/>
    <mergeCell ref="A162:A163"/>
    <mergeCell ref="I162:I163"/>
    <mergeCell ref="A164:A165"/>
    <mergeCell ref="I164:I165"/>
    <mergeCell ref="A166:A167"/>
    <mergeCell ref="I166:I167"/>
    <mergeCell ref="A180:A181"/>
    <mergeCell ref="I180:I181"/>
    <mergeCell ref="A182:A183"/>
    <mergeCell ref="I182:I183"/>
    <mergeCell ref="A184:A185"/>
    <mergeCell ref="I184:I185"/>
    <mergeCell ref="A174:A175"/>
    <mergeCell ref="I174:I175"/>
    <mergeCell ref="A176:A177"/>
    <mergeCell ref="I176:I177"/>
    <mergeCell ref="A178:A179"/>
    <mergeCell ref="I178:I179"/>
    <mergeCell ref="A192:A193"/>
    <mergeCell ref="I192:I193"/>
    <mergeCell ref="A194:A195"/>
    <mergeCell ref="I194:I195"/>
    <mergeCell ref="A196:A197"/>
    <mergeCell ref="I196:I197"/>
    <mergeCell ref="A186:A187"/>
    <mergeCell ref="I186:I187"/>
    <mergeCell ref="A188:A189"/>
    <mergeCell ref="I188:I189"/>
    <mergeCell ref="A190:A191"/>
    <mergeCell ref="I190:I191"/>
    <mergeCell ref="A204:A205"/>
    <mergeCell ref="I204:I205"/>
    <mergeCell ref="A206:A207"/>
    <mergeCell ref="I206:I207"/>
    <mergeCell ref="A208:A209"/>
    <mergeCell ref="I208:I209"/>
    <mergeCell ref="A198:A199"/>
    <mergeCell ref="I198:I199"/>
    <mergeCell ref="A200:A201"/>
    <mergeCell ref="I200:I201"/>
    <mergeCell ref="A202:A203"/>
    <mergeCell ref="I202:I203"/>
    <mergeCell ref="A216:A217"/>
    <mergeCell ref="I216:I217"/>
    <mergeCell ref="A218:A219"/>
    <mergeCell ref="I218:I219"/>
    <mergeCell ref="A220:A221"/>
    <mergeCell ref="I220:I221"/>
    <mergeCell ref="A210:A211"/>
    <mergeCell ref="I210:I211"/>
    <mergeCell ref="A212:A213"/>
    <mergeCell ref="I212:I213"/>
    <mergeCell ref="A214:A215"/>
    <mergeCell ref="I214:I215"/>
    <mergeCell ref="A228:A229"/>
    <mergeCell ref="I228:I229"/>
    <mergeCell ref="A230:A231"/>
    <mergeCell ref="I230:I231"/>
    <mergeCell ref="A232:A233"/>
    <mergeCell ref="I232:I233"/>
    <mergeCell ref="A222:A223"/>
    <mergeCell ref="I222:I223"/>
    <mergeCell ref="A224:A225"/>
    <mergeCell ref="I224:I225"/>
    <mergeCell ref="A226:A227"/>
    <mergeCell ref="I226:I227"/>
    <mergeCell ref="A240:A241"/>
    <mergeCell ref="I240:I241"/>
    <mergeCell ref="A242:A243"/>
    <mergeCell ref="I242:I243"/>
    <mergeCell ref="A244:A245"/>
    <mergeCell ref="I244:I245"/>
    <mergeCell ref="A234:A235"/>
    <mergeCell ref="I234:I235"/>
    <mergeCell ref="A236:A237"/>
    <mergeCell ref="I236:I237"/>
    <mergeCell ref="A238:A239"/>
    <mergeCell ref="I238:I239"/>
    <mergeCell ref="A252:A253"/>
    <mergeCell ref="I252:I253"/>
    <mergeCell ref="A254:A255"/>
    <mergeCell ref="I254:I255"/>
    <mergeCell ref="A246:A247"/>
    <mergeCell ref="I246:I247"/>
    <mergeCell ref="A248:A249"/>
    <mergeCell ref="I248:I249"/>
    <mergeCell ref="A250:A251"/>
    <mergeCell ref="I250:I25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opLeftCell="H14" workbookViewId="0">
      <selection activeCell="S129" sqref="S3:S129"/>
    </sheetView>
  </sheetViews>
  <sheetFormatPr baseColWidth="10" defaultRowHeight="15" x14ac:dyDescent="0.15"/>
  <cols>
    <col min="1" max="1" width="10.83203125" style="21"/>
    <col min="2" max="2" width="11.1640625" style="21" customWidth="1"/>
    <col min="3" max="4" width="10.83203125" style="21"/>
    <col min="5" max="8" width="13.1640625" style="22" customWidth="1"/>
    <col min="9" max="10" width="10.83203125" style="17"/>
    <col min="11" max="12" width="13.1640625" style="22" customWidth="1"/>
    <col min="15" max="15" width="10.83203125" style="21" customWidth="1"/>
    <col min="16" max="19" width="11.83203125" style="7" customWidth="1"/>
  </cols>
  <sheetData>
    <row r="1" spans="1:19" x14ac:dyDescent="0.15">
      <c r="A1" s="21" t="s">
        <v>62</v>
      </c>
      <c r="B1" s="21" t="s">
        <v>19</v>
      </c>
      <c r="C1" s="21" t="str">
        <f>[57]PARS_cds_stat!B1</f>
        <v>AT_GC</v>
      </c>
      <c r="D1" s="21" t="str">
        <f>[57]PARS_cds_stat!C1</f>
        <v>GC_AT</v>
      </c>
      <c r="E1" s="22" t="s">
        <v>46</v>
      </c>
      <c r="F1" s="22" t="s">
        <v>71</v>
      </c>
      <c r="I1" s="17" t="s">
        <v>23</v>
      </c>
      <c r="J1" s="17" t="s">
        <v>19</v>
      </c>
      <c r="K1" s="22" t="s">
        <v>44</v>
      </c>
      <c r="L1" s="22" t="s">
        <v>45</v>
      </c>
      <c r="P1" s="61" t="s">
        <v>76</v>
      </c>
      <c r="Q1" s="61"/>
      <c r="R1" s="61" t="s">
        <v>77</v>
      </c>
      <c r="S1" s="61"/>
    </row>
    <row r="2" spans="1:19" x14ac:dyDescent="0.15">
      <c r="A2" s="60">
        <v>1</v>
      </c>
      <c r="B2" s="21" t="s">
        <v>21</v>
      </c>
      <c r="C2" s="21">
        <f>[58]PARS_cds_stat!B2</f>
        <v>1665</v>
      </c>
      <c r="D2" s="21">
        <f>[58]PARS_cds_stat!C2</f>
        <v>2296</v>
      </c>
      <c r="E2" s="22">
        <f>C2/(C2+C3)</f>
        <v>0.55004955401387512</v>
      </c>
      <c r="F2" s="22">
        <f>D2/(D2+D3)</f>
        <v>0.64694280078895461</v>
      </c>
      <c r="I2" s="60">
        <v>1</v>
      </c>
      <c r="J2" s="17" t="s">
        <v>47</v>
      </c>
      <c r="K2" s="22">
        <f t="shared" ref="K2:K65" si="0">E2</f>
        <v>0.55004955401387512</v>
      </c>
      <c r="L2" s="22">
        <f t="shared" ref="L2:L65" si="1">F2</f>
        <v>0.64694280078895461</v>
      </c>
      <c r="O2" s="21" t="s">
        <v>23</v>
      </c>
      <c r="P2" s="7" t="s">
        <v>72</v>
      </c>
      <c r="Q2" s="7" t="s">
        <v>73</v>
      </c>
      <c r="R2" s="7" t="s">
        <v>74</v>
      </c>
      <c r="S2" s="7" t="s">
        <v>75</v>
      </c>
    </row>
    <row r="3" spans="1:19" x14ac:dyDescent="0.15">
      <c r="A3" s="60"/>
      <c r="B3" s="21" t="s">
        <v>22</v>
      </c>
      <c r="C3" s="21">
        <f>[58]PARS_cds_stat!B3</f>
        <v>1362</v>
      </c>
      <c r="D3" s="21">
        <f>[58]PARS_cds_stat!C3</f>
        <v>1253</v>
      </c>
      <c r="E3" s="22">
        <f>C3/(C2+C3)</f>
        <v>0.44995044598612488</v>
      </c>
      <c r="F3" s="22">
        <f>D3/(D2+D3)</f>
        <v>0.35305719921104539</v>
      </c>
      <c r="I3" s="60"/>
      <c r="J3" s="17" t="s">
        <v>22</v>
      </c>
      <c r="K3" s="22">
        <f t="shared" si="0"/>
        <v>0.44995044598612488</v>
      </c>
      <c r="L3" s="22">
        <f t="shared" si="1"/>
        <v>0.35305719921104539</v>
      </c>
      <c r="O3" s="21">
        <v>1</v>
      </c>
      <c r="P3" s="7">
        <f ca="1">INDIRECT("K"&amp;ROW(K1)*2)</f>
        <v>0.55004955401387512</v>
      </c>
      <c r="Q3" s="7">
        <f ca="1">INDIRECT("K"&amp;ROW(J1)*2+1)</f>
        <v>0.44995044598612488</v>
      </c>
      <c r="R3" s="7">
        <f ca="1">INDIRECT("l"&amp;ROW(L1)*2)</f>
        <v>0.64694280078895461</v>
      </c>
      <c r="S3" s="7">
        <f ca="1">INDIRECT("l"&amp;ROW(L1)*2+1)</f>
        <v>0.35305719921104539</v>
      </c>
    </row>
    <row r="4" spans="1:19" x14ac:dyDescent="0.15">
      <c r="A4" s="60">
        <v>2</v>
      </c>
      <c r="B4" s="21" t="s">
        <v>21</v>
      </c>
      <c r="C4" s="21">
        <f>[58]PARS_cds_stat!B4</f>
        <v>662</v>
      </c>
      <c r="D4" s="21">
        <f>[58]PARS_cds_stat!C4</f>
        <v>1048</v>
      </c>
      <c r="E4" s="22">
        <f>C4/(C4+C5)</f>
        <v>0.53690186536901863</v>
      </c>
      <c r="F4" s="22">
        <f>D4/(D4+D5)</f>
        <v>0.67875647668393779</v>
      </c>
      <c r="I4" s="60">
        <v>2</v>
      </c>
      <c r="J4" s="17" t="s">
        <v>21</v>
      </c>
      <c r="K4" s="22">
        <f t="shared" si="0"/>
        <v>0.53690186536901863</v>
      </c>
      <c r="L4" s="22">
        <f t="shared" si="1"/>
        <v>0.67875647668393779</v>
      </c>
      <c r="O4" s="21">
        <v>2</v>
      </c>
      <c r="P4" s="7">
        <f ca="1">INDIRECT("K"&amp;ROW(K2)*2)</f>
        <v>0.53690186536901863</v>
      </c>
      <c r="Q4" s="7">
        <f ca="1">INDIRECT("K"&amp;ROW(J2)*2+1)</f>
        <v>0.46309813463098137</v>
      </c>
      <c r="R4" s="7">
        <f t="shared" ref="R4:R12" ca="1" si="2">INDIRECT("l"&amp;ROW(L2)*2)</f>
        <v>0.67875647668393779</v>
      </c>
      <c r="S4" s="7">
        <f t="shared" ref="S4:S12" ca="1" si="3">INDIRECT("l"&amp;ROW(L2)*2+1)</f>
        <v>0.32124352331606215</v>
      </c>
    </row>
    <row r="5" spans="1:19" x14ac:dyDescent="0.15">
      <c r="A5" s="60"/>
      <c r="B5" s="21" t="s">
        <v>22</v>
      </c>
      <c r="C5" s="21">
        <f>[58]PARS_cds_stat!B5</f>
        <v>571</v>
      </c>
      <c r="D5" s="21">
        <f>[58]PARS_cds_stat!C5</f>
        <v>496</v>
      </c>
      <c r="E5" s="22">
        <f>C5/(C4+C5)</f>
        <v>0.46309813463098137</v>
      </c>
      <c r="F5" s="22">
        <f>D5/(D4+D5)</f>
        <v>0.32124352331606215</v>
      </c>
      <c r="I5" s="60"/>
      <c r="J5" s="17" t="s">
        <v>22</v>
      </c>
      <c r="K5" s="22">
        <f t="shared" si="0"/>
        <v>0.46309813463098137</v>
      </c>
      <c r="L5" s="22">
        <f t="shared" si="1"/>
        <v>0.32124352331606215</v>
      </c>
      <c r="O5" s="21">
        <v>3</v>
      </c>
      <c r="P5" s="7">
        <f ca="1">INDIRECT("K"&amp;ROW(K3)*2)</f>
        <v>0.51848249027237359</v>
      </c>
      <c r="Q5" s="7">
        <f t="shared" ref="Q5:Q13" ca="1" si="4">INDIRECT("K"&amp;ROW(J3)*2+1)</f>
        <v>0.48151750972762647</v>
      </c>
      <c r="R5" s="7">
        <f t="shared" ca="1" si="2"/>
        <v>0.66506024096385541</v>
      </c>
      <c r="S5" s="7">
        <f t="shared" ca="1" si="3"/>
        <v>0.33493975903614459</v>
      </c>
    </row>
    <row r="6" spans="1:19" x14ac:dyDescent="0.15">
      <c r="A6" s="60">
        <v>3</v>
      </c>
      <c r="B6" s="21" t="s">
        <v>21</v>
      </c>
      <c r="C6" s="21">
        <f>[58]PARS_cds_stat!B6</f>
        <v>533</v>
      </c>
      <c r="D6" s="21">
        <f>[58]PARS_cds_stat!C6</f>
        <v>828</v>
      </c>
      <c r="E6" s="22">
        <f>C6/(C6+C7)</f>
        <v>0.51848249027237359</v>
      </c>
      <c r="F6" s="22">
        <f>D6/(D6+D7)</f>
        <v>0.66506024096385541</v>
      </c>
      <c r="I6" s="60">
        <v>3</v>
      </c>
      <c r="J6" s="17" t="s">
        <v>21</v>
      </c>
      <c r="K6" s="22">
        <f t="shared" si="0"/>
        <v>0.51848249027237359</v>
      </c>
      <c r="L6" s="22">
        <f t="shared" si="1"/>
        <v>0.66506024096385541</v>
      </c>
      <c r="O6" s="21">
        <v>4</v>
      </c>
      <c r="P6" s="7">
        <f t="shared" ref="P6:P8" ca="1" si="5">INDIRECT("K"&amp;ROW(K4)*2)</f>
        <v>0.55403348554033482</v>
      </c>
      <c r="Q6" s="7">
        <f t="shared" ca="1" si="4"/>
        <v>0.44596651445966512</v>
      </c>
      <c r="R6" s="7">
        <f t="shared" ca="1" si="2"/>
        <v>0.67002518891687657</v>
      </c>
      <c r="S6" s="7">
        <f t="shared" ca="1" si="3"/>
        <v>0.32997481108312343</v>
      </c>
    </row>
    <row r="7" spans="1:19" x14ac:dyDescent="0.15">
      <c r="A7" s="60"/>
      <c r="B7" s="21" t="s">
        <v>22</v>
      </c>
      <c r="C7" s="21">
        <f>[58]PARS_cds_stat!B7</f>
        <v>495</v>
      </c>
      <c r="D7" s="21">
        <f>[58]PARS_cds_stat!C7</f>
        <v>417</v>
      </c>
      <c r="E7" s="22">
        <f>C7/(C6+C7)</f>
        <v>0.48151750972762647</v>
      </c>
      <c r="F7" s="22">
        <f>D7/(D6+D7)</f>
        <v>0.33493975903614459</v>
      </c>
      <c r="I7" s="60"/>
      <c r="J7" s="17" t="s">
        <v>22</v>
      </c>
      <c r="K7" s="22">
        <f t="shared" si="0"/>
        <v>0.48151750972762647</v>
      </c>
      <c r="L7" s="22">
        <f t="shared" si="1"/>
        <v>0.33493975903614459</v>
      </c>
      <c r="O7" s="21">
        <v>5</v>
      </c>
      <c r="P7" s="7">
        <f t="shared" ca="1" si="5"/>
        <v>0.49682875264270615</v>
      </c>
      <c r="Q7" s="7">
        <f t="shared" ca="1" si="4"/>
        <v>0.5031712473572939</v>
      </c>
      <c r="R7" s="7">
        <f t="shared" ca="1" si="2"/>
        <v>0.62691652470187398</v>
      </c>
      <c r="S7" s="7">
        <f t="shared" ca="1" si="3"/>
        <v>0.37308347529812608</v>
      </c>
    </row>
    <row r="8" spans="1:19" x14ac:dyDescent="0.15">
      <c r="A8" s="60">
        <v>4</v>
      </c>
      <c r="B8" s="21" t="s">
        <v>21</v>
      </c>
      <c r="C8" s="21">
        <f>[58]PARS_cds_stat!B8</f>
        <v>364</v>
      </c>
      <c r="D8" s="21">
        <f>[58]PARS_cds_stat!C8</f>
        <v>532</v>
      </c>
      <c r="E8" s="22">
        <f>C8/(C8+C9)</f>
        <v>0.55403348554033482</v>
      </c>
      <c r="F8" s="22">
        <f>D8/(D8+D9)</f>
        <v>0.67002518891687657</v>
      </c>
      <c r="I8" s="60">
        <v>4</v>
      </c>
      <c r="J8" s="17" t="s">
        <v>21</v>
      </c>
      <c r="K8" s="22">
        <f t="shared" si="0"/>
        <v>0.55403348554033482</v>
      </c>
      <c r="L8" s="22">
        <f t="shared" si="1"/>
        <v>0.67002518891687657</v>
      </c>
      <c r="O8" s="21">
        <v>6</v>
      </c>
      <c r="P8" s="7">
        <f t="shared" ca="1" si="5"/>
        <v>0.5200764818355641</v>
      </c>
      <c r="Q8" s="7">
        <f t="shared" ca="1" si="4"/>
        <v>0.47992351816443596</v>
      </c>
      <c r="R8" s="7">
        <f t="shared" ca="1" si="2"/>
        <v>0.66009104704097121</v>
      </c>
      <c r="S8" s="7">
        <f t="shared" ca="1" si="3"/>
        <v>0.33990895295902884</v>
      </c>
    </row>
    <row r="9" spans="1:19" x14ac:dyDescent="0.15">
      <c r="A9" s="60"/>
      <c r="B9" s="21" t="s">
        <v>22</v>
      </c>
      <c r="C9" s="21">
        <f>[58]PARS_cds_stat!B9</f>
        <v>293</v>
      </c>
      <c r="D9" s="21">
        <f>[58]PARS_cds_stat!C9</f>
        <v>262</v>
      </c>
      <c r="E9" s="22">
        <f>C9/(C8+C9)</f>
        <v>0.44596651445966512</v>
      </c>
      <c r="F9" s="22">
        <f>D9/(D8+D9)</f>
        <v>0.32997481108312343</v>
      </c>
      <c r="I9" s="60"/>
      <c r="J9" s="17" t="s">
        <v>22</v>
      </c>
      <c r="K9" s="22">
        <f t="shared" si="0"/>
        <v>0.44596651445966512</v>
      </c>
      <c r="L9" s="22">
        <f t="shared" si="1"/>
        <v>0.32997481108312343</v>
      </c>
      <c r="O9" s="21">
        <v>7</v>
      </c>
      <c r="P9" s="7">
        <f ca="1">INDIRECT("K"&amp;ROW(K7)*2)</f>
        <v>0.48467966573816157</v>
      </c>
      <c r="Q9" s="7">
        <f t="shared" ca="1" si="4"/>
        <v>0.51532033426183843</v>
      </c>
      <c r="R9" s="7">
        <f t="shared" ca="1" si="2"/>
        <v>0.66270783847980996</v>
      </c>
      <c r="S9" s="7">
        <f t="shared" ca="1" si="3"/>
        <v>0.33729216152019004</v>
      </c>
    </row>
    <row r="10" spans="1:19" x14ac:dyDescent="0.15">
      <c r="A10" s="60">
        <v>5</v>
      </c>
      <c r="B10" s="21" t="s">
        <v>21</v>
      </c>
      <c r="C10" s="21">
        <f>[58]PARS_cds_stat!B10</f>
        <v>235</v>
      </c>
      <c r="D10" s="21">
        <f>[58]PARS_cds_stat!C10</f>
        <v>368</v>
      </c>
      <c r="E10" s="22">
        <f>C10/(C10+C11)</f>
        <v>0.49682875264270615</v>
      </c>
      <c r="F10" s="22">
        <f>D10/(D10+D11)</f>
        <v>0.62691652470187398</v>
      </c>
      <c r="I10" s="60">
        <v>5</v>
      </c>
      <c r="J10" s="17" t="s">
        <v>21</v>
      </c>
      <c r="K10" s="22">
        <f t="shared" si="0"/>
        <v>0.49682875264270615</v>
      </c>
      <c r="L10" s="22">
        <f t="shared" si="1"/>
        <v>0.62691652470187398</v>
      </c>
      <c r="O10" s="21">
        <v>8</v>
      </c>
      <c r="P10" s="7">
        <f ca="1">INDIRECT("K"&amp;ROW(K8)*2)</f>
        <v>0.53353658536585369</v>
      </c>
      <c r="Q10" s="7">
        <f t="shared" ca="1" si="4"/>
        <v>0.46646341463414637</v>
      </c>
      <c r="R10" s="7">
        <f t="shared" ca="1" si="2"/>
        <v>0.64829396325459321</v>
      </c>
      <c r="S10" s="7">
        <f t="shared" ca="1" si="3"/>
        <v>0.35170603674540685</v>
      </c>
    </row>
    <row r="11" spans="1:19" x14ac:dyDescent="0.15">
      <c r="A11" s="60"/>
      <c r="B11" s="21" t="s">
        <v>22</v>
      </c>
      <c r="C11" s="21">
        <f>[58]PARS_cds_stat!B11</f>
        <v>238</v>
      </c>
      <c r="D11" s="21">
        <f>[58]PARS_cds_stat!C11</f>
        <v>219</v>
      </c>
      <c r="E11" s="22">
        <f>C11/(C10+C11)</f>
        <v>0.5031712473572939</v>
      </c>
      <c r="F11" s="22">
        <f>D11/(D10+D11)</f>
        <v>0.37308347529812608</v>
      </c>
      <c r="I11" s="60"/>
      <c r="J11" s="17" t="s">
        <v>22</v>
      </c>
      <c r="K11" s="22">
        <f t="shared" si="0"/>
        <v>0.5031712473572939</v>
      </c>
      <c r="L11" s="22">
        <f t="shared" si="1"/>
        <v>0.37308347529812608</v>
      </c>
      <c r="O11" s="21">
        <v>9</v>
      </c>
      <c r="P11" s="7">
        <f t="shared" ref="P11:P19" ca="1" si="6">INDIRECT("K"&amp;ROW(K9)*2)</f>
        <v>0.5114942528735632</v>
      </c>
      <c r="Q11" s="7">
        <f t="shared" ca="1" si="4"/>
        <v>0.4885057471264368</v>
      </c>
      <c r="R11" s="7">
        <f t="shared" ca="1" si="2"/>
        <v>0.67933491686460812</v>
      </c>
      <c r="S11" s="7">
        <f t="shared" ca="1" si="3"/>
        <v>0.32066508313539194</v>
      </c>
    </row>
    <row r="12" spans="1:19" x14ac:dyDescent="0.15">
      <c r="A12" s="60">
        <v>6</v>
      </c>
      <c r="B12" s="21" t="s">
        <v>21</v>
      </c>
      <c r="C12" s="21">
        <f>[58]PARS_cds_stat!B12</f>
        <v>272</v>
      </c>
      <c r="D12" s="21">
        <f>[58]PARS_cds_stat!C12</f>
        <v>435</v>
      </c>
      <c r="E12" s="22">
        <f t="shared" ref="E12:F12" si="7">C12/(C12+C13)</f>
        <v>0.5200764818355641</v>
      </c>
      <c r="F12" s="22">
        <f t="shared" si="7"/>
        <v>0.66009104704097121</v>
      </c>
      <c r="I12" s="60">
        <v>6</v>
      </c>
      <c r="J12" s="17" t="s">
        <v>21</v>
      </c>
      <c r="K12" s="22">
        <f t="shared" si="0"/>
        <v>0.5200764818355641</v>
      </c>
      <c r="L12" s="22">
        <f t="shared" si="1"/>
        <v>0.66009104704097121</v>
      </c>
      <c r="O12" s="21">
        <v>10</v>
      </c>
      <c r="P12" s="7">
        <f t="shared" ca="1" si="6"/>
        <v>0.52491694352159468</v>
      </c>
      <c r="Q12" s="7">
        <f t="shared" ca="1" si="4"/>
        <v>0.47508305647840532</v>
      </c>
      <c r="R12" s="7">
        <f t="shared" ca="1" si="2"/>
        <v>0.7263843648208469</v>
      </c>
      <c r="S12" s="7">
        <f t="shared" ca="1" si="3"/>
        <v>0.2736156351791531</v>
      </c>
    </row>
    <row r="13" spans="1:19" x14ac:dyDescent="0.15">
      <c r="A13" s="60"/>
      <c r="B13" s="21" t="s">
        <v>22</v>
      </c>
      <c r="C13" s="21">
        <f>[58]PARS_cds_stat!B13</f>
        <v>251</v>
      </c>
      <c r="D13" s="21">
        <f>[58]PARS_cds_stat!C13</f>
        <v>224</v>
      </c>
      <c r="E13" s="22">
        <f t="shared" ref="E13:F13" si="8">C13/(C12+C13)</f>
        <v>0.47992351816443596</v>
      </c>
      <c r="F13" s="22">
        <f t="shared" si="8"/>
        <v>0.33990895295902884</v>
      </c>
      <c r="I13" s="60"/>
      <c r="J13" s="17" t="s">
        <v>22</v>
      </c>
      <c r="K13" s="22">
        <f t="shared" si="0"/>
        <v>0.47992351816443596</v>
      </c>
      <c r="L13" s="22">
        <f t="shared" si="1"/>
        <v>0.33990895295902884</v>
      </c>
      <c r="O13" s="21">
        <v>11</v>
      </c>
      <c r="P13" s="7">
        <f t="shared" ca="1" si="6"/>
        <v>0.53110047846889952</v>
      </c>
      <c r="Q13" s="7">
        <f t="shared" ca="1" si="4"/>
        <v>0.46889952153110048</v>
      </c>
      <c r="R13" s="7">
        <f t="shared" ref="R13:R76" ca="1" si="9">INDIRECT("l"&amp;ROW(L11)*2)</f>
        <v>0.62445414847161573</v>
      </c>
      <c r="S13" s="7">
        <f t="shared" ref="S13:S76" ca="1" si="10">INDIRECT("l"&amp;ROW(L11)*2+1)</f>
        <v>0.37554585152838427</v>
      </c>
    </row>
    <row r="14" spans="1:19" x14ac:dyDescent="0.15">
      <c r="A14" s="60">
        <v>7</v>
      </c>
      <c r="B14" s="21" t="s">
        <v>21</v>
      </c>
      <c r="C14" s="21">
        <f>[58]PARS_cds_stat!B14</f>
        <v>174</v>
      </c>
      <c r="D14" s="21">
        <f>[58]PARS_cds_stat!C14</f>
        <v>279</v>
      </c>
      <c r="E14" s="22">
        <f t="shared" ref="E14:F14" si="11">C14/(C14+C15)</f>
        <v>0.48467966573816157</v>
      </c>
      <c r="F14" s="22">
        <f t="shared" si="11"/>
        <v>0.66270783847980996</v>
      </c>
      <c r="I14" s="60">
        <v>7</v>
      </c>
      <c r="J14" s="17" t="s">
        <v>21</v>
      </c>
      <c r="K14" s="22">
        <f t="shared" si="0"/>
        <v>0.48467966573816157</v>
      </c>
      <c r="L14" s="22">
        <f t="shared" si="1"/>
        <v>0.66270783847980996</v>
      </c>
      <c r="O14" s="21">
        <v>12</v>
      </c>
      <c r="P14" s="7">
        <f t="shared" ca="1" si="6"/>
        <v>0.50898203592814373</v>
      </c>
      <c r="Q14" s="7">
        <f t="shared" ref="Q14:Q77" ca="1" si="12">INDIRECT("K"&amp;ROW(J12)*2+1)</f>
        <v>0.49101796407185627</v>
      </c>
      <c r="R14" s="7">
        <f t="shared" ca="1" si="9"/>
        <v>0.65079365079365081</v>
      </c>
      <c r="S14" s="7">
        <f t="shared" ca="1" si="10"/>
        <v>0.34920634920634919</v>
      </c>
    </row>
    <row r="15" spans="1:19" x14ac:dyDescent="0.15">
      <c r="A15" s="60"/>
      <c r="B15" s="21" t="s">
        <v>22</v>
      </c>
      <c r="C15" s="21">
        <f>[58]PARS_cds_stat!B15</f>
        <v>185</v>
      </c>
      <c r="D15" s="21">
        <f>[58]PARS_cds_stat!C15</f>
        <v>142</v>
      </c>
      <c r="E15" s="22">
        <f t="shared" ref="E15:F15" si="13">C15/(C14+C15)</f>
        <v>0.51532033426183843</v>
      </c>
      <c r="F15" s="22">
        <f t="shared" si="13"/>
        <v>0.33729216152019004</v>
      </c>
      <c r="I15" s="60"/>
      <c r="J15" s="17" t="s">
        <v>22</v>
      </c>
      <c r="K15" s="22">
        <f t="shared" si="0"/>
        <v>0.51532033426183843</v>
      </c>
      <c r="L15" s="22">
        <f t="shared" si="1"/>
        <v>0.33729216152019004</v>
      </c>
      <c r="O15" s="21">
        <v>13</v>
      </c>
      <c r="P15" s="7">
        <f t="shared" ca="1" si="6"/>
        <v>0.56084656084656082</v>
      </c>
      <c r="Q15" s="7">
        <f t="shared" ca="1" si="12"/>
        <v>0.43915343915343913</v>
      </c>
      <c r="R15" s="7">
        <f t="shared" ca="1" si="9"/>
        <v>0.65363128491620115</v>
      </c>
      <c r="S15" s="7">
        <f t="shared" ca="1" si="10"/>
        <v>0.34636871508379891</v>
      </c>
    </row>
    <row r="16" spans="1:19" x14ac:dyDescent="0.15">
      <c r="A16" s="60">
        <v>8</v>
      </c>
      <c r="B16" s="21" t="s">
        <v>21</v>
      </c>
      <c r="C16" s="21">
        <f>[58]PARS_cds_stat!B16</f>
        <v>175</v>
      </c>
      <c r="D16" s="21">
        <f>[58]PARS_cds_stat!C16</f>
        <v>247</v>
      </c>
      <c r="E16" s="22">
        <f t="shared" ref="E16:F16" si="14">C16/(C16+C17)</f>
        <v>0.53353658536585369</v>
      </c>
      <c r="F16" s="22">
        <f t="shared" si="14"/>
        <v>0.64829396325459321</v>
      </c>
      <c r="I16" s="60">
        <v>8</v>
      </c>
      <c r="J16" s="17" t="s">
        <v>21</v>
      </c>
      <c r="K16" s="22">
        <f t="shared" si="0"/>
        <v>0.53353658536585369</v>
      </c>
      <c r="L16" s="22">
        <f t="shared" si="1"/>
        <v>0.64829396325459321</v>
      </c>
      <c r="O16" s="21">
        <v>14</v>
      </c>
      <c r="P16" s="7">
        <f t="shared" ca="1" si="6"/>
        <v>0.50588235294117645</v>
      </c>
      <c r="Q16" s="7">
        <f t="shared" ca="1" si="12"/>
        <v>0.49411764705882355</v>
      </c>
      <c r="R16" s="7">
        <f t="shared" ca="1" si="9"/>
        <v>0.63005780346820806</v>
      </c>
      <c r="S16" s="7">
        <f t="shared" ca="1" si="10"/>
        <v>0.36994219653179189</v>
      </c>
    </row>
    <row r="17" spans="1:19" x14ac:dyDescent="0.15">
      <c r="A17" s="60"/>
      <c r="B17" s="21" t="s">
        <v>22</v>
      </c>
      <c r="C17" s="21">
        <f>[58]PARS_cds_stat!B17</f>
        <v>153</v>
      </c>
      <c r="D17" s="21">
        <f>[58]PARS_cds_stat!C17</f>
        <v>134</v>
      </c>
      <c r="E17" s="22">
        <f t="shared" ref="E17:F17" si="15">C17/(C16+C17)</f>
        <v>0.46646341463414637</v>
      </c>
      <c r="F17" s="22">
        <f t="shared" si="15"/>
        <v>0.35170603674540685</v>
      </c>
      <c r="I17" s="60"/>
      <c r="J17" s="17" t="s">
        <v>22</v>
      </c>
      <c r="K17" s="22">
        <f t="shared" si="0"/>
        <v>0.46646341463414637</v>
      </c>
      <c r="L17" s="22">
        <f t="shared" si="1"/>
        <v>0.35170603674540685</v>
      </c>
      <c r="O17" s="21">
        <v>15</v>
      </c>
      <c r="P17" s="7">
        <f t="shared" ca="1" si="6"/>
        <v>0.51048951048951052</v>
      </c>
      <c r="Q17" s="7">
        <f t="shared" ca="1" si="12"/>
        <v>0.48951048951048953</v>
      </c>
      <c r="R17" s="7">
        <f t="shared" ca="1" si="9"/>
        <v>0.62345679012345678</v>
      </c>
      <c r="S17" s="7">
        <f t="shared" ca="1" si="10"/>
        <v>0.37654320987654322</v>
      </c>
    </row>
    <row r="18" spans="1:19" x14ac:dyDescent="0.15">
      <c r="A18" s="60">
        <v>9</v>
      </c>
      <c r="B18" s="21" t="s">
        <v>21</v>
      </c>
      <c r="C18" s="21">
        <f>[58]PARS_cds_stat!B18</f>
        <v>178</v>
      </c>
      <c r="D18" s="21">
        <f>[58]PARS_cds_stat!C18</f>
        <v>286</v>
      </c>
      <c r="E18" s="22">
        <f t="shared" ref="E18:F18" si="16">C18/(C18+C19)</f>
        <v>0.5114942528735632</v>
      </c>
      <c r="F18" s="22">
        <f t="shared" si="16"/>
        <v>0.67933491686460812</v>
      </c>
      <c r="I18" s="60">
        <v>9</v>
      </c>
      <c r="J18" s="17" t="s">
        <v>21</v>
      </c>
      <c r="K18" s="22">
        <f t="shared" si="0"/>
        <v>0.5114942528735632</v>
      </c>
      <c r="L18" s="22">
        <f t="shared" si="1"/>
        <v>0.67933491686460812</v>
      </c>
      <c r="O18" s="21">
        <v>16</v>
      </c>
      <c r="P18" s="7">
        <f t="shared" ca="1" si="6"/>
        <v>0.64102564102564108</v>
      </c>
      <c r="Q18" s="7">
        <f t="shared" ca="1" si="12"/>
        <v>0.35897435897435898</v>
      </c>
      <c r="R18" s="7">
        <f t="shared" ca="1" si="9"/>
        <v>0.60544217687074831</v>
      </c>
      <c r="S18" s="7">
        <f t="shared" ca="1" si="10"/>
        <v>0.39455782312925169</v>
      </c>
    </row>
    <row r="19" spans="1:19" x14ac:dyDescent="0.15">
      <c r="A19" s="60"/>
      <c r="B19" s="21" t="s">
        <v>22</v>
      </c>
      <c r="C19" s="21">
        <f>[58]PARS_cds_stat!B19</f>
        <v>170</v>
      </c>
      <c r="D19" s="21">
        <f>[58]PARS_cds_stat!C19</f>
        <v>135</v>
      </c>
      <c r="E19" s="22">
        <f t="shared" ref="E19:F19" si="17">C19/(C18+C19)</f>
        <v>0.4885057471264368</v>
      </c>
      <c r="F19" s="22">
        <f t="shared" si="17"/>
        <v>0.32066508313539194</v>
      </c>
      <c r="I19" s="60"/>
      <c r="J19" s="17" t="s">
        <v>22</v>
      </c>
      <c r="K19" s="22">
        <f t="shared" si="0"/>
        <v>0.4885057471264368</v>
      </c>
      <c r="L19" s="22">
        <f t="shared" si="1"/>
        <v>0.32066508313539194</v>
      </c>
      <c r="O19" s="21">
        <v>17</v>
      </c>
      <c r="P19" s="7">
        <f t="shared" ca="1" si="6"/>
        <v>0.46564885496183206</v>
      </c>
      <c r="Q19" s="7">
        <f t="shared" ca="1" si="12"/>
        <v>0.53435114503816794</v>
      </c>
      <c r="R19" s="7">
        <f t="shared" ca="1" si="9"/>
        <v>0.72357723577235777</v>
      </c>
      <c r="S19" s="7">
        <f t="shared" ca="1" si="10"/>
        <v>0.27642276422764228</v>
      </c>
    </row>
    <row r="20" spans="1:19" x14ac:dyDescent="0.15">
      <c r="A20" s="60">
        <v>10</v>
      </c>
      <c r="B20" s="21" t="s">
        <v>21</v>
      </c>
      <c r="C20" s="21">
        <f>[58]PARS_cds_stat!B20</f>
        <v>158</v>
      </c>
      <c r="D20" s="21">
        <f>[58]PARS_cds_stat!C20</f>
        <v>223</v>
      </c>
      <c r="E20" s="22">
        <f t="shared" ref="E20:F20" si="18">C20/(C20+C21)</f>
        <v>0.52491694352159468</v>
      </c>
      <c r="F20" s="22">
        <f t="shared" si="18"/>
        <v>0.7263843648208469</v>
      </c>
      <c r="I20" s="60">
        <v>10</v>
      </c>
      <c r="J20" s="17" t="s">
        <v>21</v>
      </c>
      <c r="K20" s="22">
        <f t="shared" si="0"/>
        <v>0.52491694352159468</v>
      </c>
      <c r="L20" s="22">
        <f t="shared" si="1"/>
        <v>0.7263843648208469</v>
      </c>
      <c r="O20" s="21">
        <v>18</v>
      </c>
      <c r="P20" s="7">
        <f t="shared" ref="P20:P83" ca="1" si="19">INDIRECT("K"&amp;ROW(K18)*2)</f>
        <v>0.52631578947368418</v>
      </c>
      <c r="Q20" s="7">
        <f t="shared" ca="1" si="12"/>
        <v>0.47368421052631576</v>
      </c>
      <c r="R20" s="7">
        <f t="shared" ca="1" si="9"/>
        <v>0.71134020618556704</v>
      </c>
      <c r="S20" s="7">
        <f t="shared" ca="1" si="10"/>
        <v>0.28865979381443296</v>
      </c>
    </row>
    <row r="21" spans="1:19" x14ac:dyDescent="0.15">
      <c r="A21" s="60"/>
      <c r="B21" s="21" t="s">
        <v>22</v>
      </c>
      <c r="C21" s="21">
        <f>[58]PARS_cds_stat!B21</f>
        <v>143</v>
      </c>
      <c r="D21" s="21">
        <f>[58]PARS_cds_stat!C21</f>
        <v>84</v>
      </c>
      <c r="E21" s="22">
        <f t="shared" ref="E21:F21" si="20">C21/(C20+C21)</f>
        <v>0.47508305647840532</v>
      </c>
      <c r="F21" s="22">
        <f t="shared" si="20"/>
        <v>0.2736156351791531</v>
      </c>
      <c r="I21" s="60"/>
      <c r="J21" s="17" t="s">
        <v>22</v>
      </c>
      <c r="K21" s="22">
        <f t="shared" si="0"/>
        <v>0.47508305647840532</v>
      </c>
      <c r="L21" s="22">
        <f t="shared" si="1"/>
        <v>0.2736156351791531</v>
      </c>
      <c r="O21" s="21">
        <v>19</v>
      </c>
      <c r="P21" s="7">
        <f t="shared" ca="1" si="19"/>
        <v>0.6</v>
      </c>
      <c r="Q21" s="7">
        <f t="shared" ca="1" si="12"/>
        <v>0.4</v>
      </c>
      <c r="R21" s="7">
        <f t="shared" ca="1" si="9"/>
        <v>0.63157894736842102</v>
      </c>
      <c r="S21" s="7">
        <f t="shared" ca="1" si="10"/>
        <v>0.36842105263157893</v>
      </c>
    </row>
    <row r="22" spans="1:19" x14ac:dyDescent="0.15">
      <c r="A22" s="60">
        <v>11</v>
      </c>
      <c r="B22" s="21" t="s">
        <v>21</v>
      </c>
      <c r="C22" s="21">
        <f>[58]PARS_cds_stat!B22</f>
        <v>111</v>
      </c>
      <c r="D22" s="21">
        <f>[58]PARS_cds_stat!C22</f>
        <v>143</v>
      </c>
      <c r="E22" s="22">
        <f t="shared" ref="E22:F22" si="21">C22/(C22+C23)</f>
        <v>0.53110047846889952</v>
      </c>
      <c r="F22" s="22">
        <f t="shared" si="21"/>
        <v>0.62445414847161573</v>
      </c>
      <c r="I22" s="60">
        <v>11</v>
      </c>
      <c r="J22" s="17" t="s">
        <v>21</v>
      </c>
      <c r="K22" s="22">
        <f t="shared" si="0"/>
        <v>0.53110047846889952</v>
      </c>
      <c r="L22" s="22">
        <f t="shared" si="1"/>
        <v>0.62445414847161573</v>
      </c>
      <c r="O22" s="21">
        <v>20</v>
      </c>
      <c r="P22" s="7">
        <f t="shared" ca="1" si="19"/>
        <v>0.54838709677419351</v>
      </c>
      <c r="Q22" s="7">
        <f t="shared" ca="1" si="12"/>
        <v>0.45161290322580644</v>
      </c>
      <c r="R22" s="7">
        <f t="shared" ca="1" si="9"/>
        <v>0.70526315789473681</v>
      </c>
      <c r="S22" s="7">
        <f t="shared" ca="1" si="10"/>
        <v>0.29473684210526313</v>
      </c>
    </row>
    <row r="23" spans="1:19" x14ac:dyDescent="0.15">
      <c r="A23" s="60"/>
      <c r="B23" s="21" t="s">
        <v>22</v>
      </c>
      <c r="C23" s="21">
        <f>[58]PARS_cds_stat!B23</f>
        <v>98</v>
      </c>
      <c r="D23" s="21">
        <f>[58]PARS_cds_stat!C23</f>
        <v>86</v>
      </c>
      <c r="E23" s="22">
        <f t="shared" ref="E23:F23" si="22">C23/(C22+C23)</f>
        <v>0.46889952153110048</v>
      </c>
      <c r="F23" s="22">
        <f t="shared" si="22"/>
        <v>0.37554585152838427</v>
      </c>
      <c r="I23" s="60"/>
      <c r="J23" s="17" t="s">
        <v>22</v>
      </c>
      <c r="K23" s="22">
        <f t="shared" si="0"/>
        <v>0.46889952153110048</v>
      </c>
      <c r="L23" s="22">
        <f t="shared" si="1"/>
        <v>0.37554585152838427</v>
      </c>
      <c r="O23" s="21">
        <v>21</v>
      </c>
      <c r="P23" s="7">
        <f t="shared" ca="1" si="19"/>
        <v>0.44318181818181818</v>
      </c>
      <c r="Q23" s="7">
        <f t="shared" ca="1" si="12"/>
        <v>0.55681818181818177</v>
      </c>
      <c r="R23" s="7">
        <f t="shared" ca="1" si="9"/>
        <v>0.57647058823529407</v>
      </c>
      <c r="S23" s="7">
        <f t="shared" ca="1" si="10"/>
        <v>0.42352941176470588</v>
      </c>
    </row>
    <row r="24" spans="1:19" x14ac:dyDescent="0.15">
      <c r="A24" s="60">
        <v>12</v>
      </c>
      <c r="B24" s="21" t="s">
        <v>21</v>
      </c>
      <c r="C24" s="21">
        <f>[58]PARS_cds_stat!B24</f>
        <v>85</v>
      </c>
      <c r="D24" s="21">
        <f>[58]PARS_cds_stat!C24</f>
        <v>123</v>
      </c>
      <c r="E24" s="22">
        <f t="shared" ref="E24:F24" si="23">C24/(C24+C25)</f>
        <v>0.50898203592814373</v>
      </c>
      <c r="F24" s="22">
        <f t="shared" si="23"/>
        <v>0.65079365079365081</v>
      </c>
      <c r="I24" s="60">
        <v>12</v>
      </c>
      <c r="J24" s="17" t="s">
        <v>21</v>
      </c>
      <c r="K24" s="22">
        <f t="shared" si="0"/>
        <v>0.50898203592814373</v>
      </c>
      <c r="L24" s="22">
        <f t="shared" si="1"/>
        <v>0.65079365079365081</v>
      </c>
      <c r="O24" s="21">
        <v>22</v>
      </c>
      <c r="P24" s="7">
        <f t="shared" ca="1" si="19"/>
        <v>0.63095238095238093</v>
      </c>
      <c r="Q24" s="7">
        <f t="shared" ca="1" si="12"/>
        <v>0.36904761904761907</v>
      </c>
      <c r="R24" s="7">
        <f t="shared" ca="1" si="9"/>
        <v>0.6097560975609756</v>
      </c>
      <c r="S24" s="7">
        <f t="shared" ca="1" si="10"/>
        <v>0.3902439024390244</v>
      </c>
    </row>
    <row r="25" spans="1:19" x14ac:dyDescent="0.15">
      <c r="A25" s="60"/>
      <c r="B25" s="21" t="s">
        <v>22</v>
      </c>
      <c r="C25" s="21">
        <f>[58]PARS_cds_stat!B25</f>
        <v>82</v>
      </c>
      <c r="D25" s="21">
        <f>[58]PARS_cds_stat!C25</f>
        <v>66</v>
      </c>
      <c r="E25" s="22">
        <f t="shared" ref="E25:F25" si="24">C25/(C24+C25)</f>
        <v>0.49101796407185627</v>
      </c>
      <c r="F25" s="22">
        <f t="shared" si="24"/>
        <v>0.34920634920634919</v>
      </c>
      <c r="I25" s="60"/>
      <c r="J25" s="17" t="s">
        <v>22</v>
      </c>
      <c r="K25" s="22">
        <f t="shared" si="0"/>
        <v>0.49101796407185627</v>
      </c>
      <c r="L25" s="22">
        <f t="shared" si="1"/>
        <v>0.34920634920634919</v>
      </c>
      <c r="O25" s="21">
        <v>23</v>
      </c>
      <c r="P25" s="7">
        <f t="shared" ca="1" si="19"/>
        <v>0.51428571428571423</v>
      </c>
      <c r="Q25" s="7">
        <f t="shared" ca="1" si="12"/>
        <v>0.48571428571428571</v>
      </c>
      <c r="R25" s="7">
        <f t="shared" ca="1" si="9"/>
        <v>0.62650602409638556</v>
      </c>
      <c r="S25" s="7">
        <f t="shared" ca="1" si="10"/>
        <v>0.37349397590361444</v>
      </c>
    </row>
    <row r="26" spans="1:19" x14ac:dyDescent="0.15">
      <c r="A26" s="60">
        <v>13</v>
      </c>
      <c r="B26" s="21" t="s">
        <v>21</v>
      </c>
      <c r="C26" s="21">
        <f>[58]PARS_cds_stat!B26</f>
        <v>106</v>
      </c>
      <c r="D26" s="21">
        <f>[58]PARS_cds_stat!C26</f>
        <v>117</v>
      </c>
      <c r="E26" s="22">
        <f t="shared" ref="E26:F26" si="25">C26/(C26+C27)</f>
        <v>0.56084656084656082</v>
      </c>
      <c r="F26" s="22">
        <f t="shared" si="25"/>
        <v>0.65363128491620115</v>
      </c>
      <c r="I26" s="60">
        <v>13</v>
      </c>
      <c r="J26" s="17" t="s">
        <v>21</v>
      </c>
      <c r="K26" s="22">
        <f t="shared" si="0"/>
        <v>0.56084656084656082</v>
      </c>
      <c r="L26" s="22">
        <f t="shared" si="1"/>
        <v>0.65363128491620115</v>
      </c>
      <c r="O26" s="21">
        <v>24</v>
      </c>
      <c r="P26" s="7">
        <f t="shared" ca="1" si="19"/>
        <v>0.5280898876404494</v>
      </c>
      <c r="Q26" s="7">
        <f t="shared" ca="1" si="12"/>
        <v>0.47191011235955055</v>
      </c>
      <c r="R26" s="7">
        <f t="shared" ca="1" si="9"/>
        <v>0.6292134831460674</v>
      </c>
      <c r="S26" s="7">
        <f t="shared" ca="1" si="10"/>
        <v>0.3707865168539326</v>
      </c>
    </row>
    <row r="27" spans="1:19" x14ac:dyDescent="0.15">
      <c r="A27" s="60"/>
      <c r="B27" s="21" t="s">
        <v>22</v>
      </c>
      <c r="C27" s="21">
        <f>[58]PARS_cds_stat!B27</f>
        <v>83</v>
      </c>
      <c r="D27" s="21">
        <f>[58]PARS_cds_stat!C27</f>
        <v>62</v>
      </c>
      <c r="E27" s="22">
        <f t="shared" ref="E27:F27" si="26">C27/(C26+C27)</f>
        <v>0.43915343915343913</v>
      </c>
      <c r="F27" s="22">
        <f t="shared" si="26"/>
        <v>0.34636871508379891</v>
      </c>
      <c r="I27" s="60"/>
      <c r="J27" s="17" t="s">
        <v>22</v>
      </c>
      <c r="K27" s="22">
        <f t="shared" si="0"/>
        <v>0.43915343915343913</v>
      </c>
      <c r="L27" s="22">
        <f t="shared" si="1"/>
        <v>0.34636871508379891</v>
      </c>
      <c r="O27" s="21">
        <v>25</v>
      </c>
      <c r="P27" s="7">
        <f t="shared" ca="1" si="19"/>
        <v>0.55294117647058827</v>
      </c>
      <c r="Q27" s="7">
        <f t="shared" ca="1" si="12"/>
        <v>0.44705882352941179</v>
      </c>
      <c r="R27" s="7">
        <f t="shared" ca="1" si="9"/>
        <v>0.70370370370370372</v>
      </c>
      <c r="S27" s="7">
        <f t="shared" ca="1" si="10"/>
        <v>0.29629629629629628</v>
      </c>
    </row>
    <row r="28" spans="1:19" x14ac:dyDescent="0.15">
      <c r="A28" s="60">
        <v>14</v>
      </c>
      <c r="B28" s="21" t="s">
        <v>21</v>
      </c>
      <c r="C28" s="21">
        <f>[58]PARS_cds_stat!B28</f>
        <v>86</v>
      </c>
      <c r="D28" s="21">
        <f>[58]PARS_cds_stat!C28</f>
        <v>109</v>
      </c>
      <c r="E28" s="22">
        <f t="shared" ref="E28:F28" si="27">C28/(C28+C29)</f>
        <v>0.50588235294117645</v>
      </c>
      <c r="F28" s="22">
        <f t="shared" si="27"/>
        <v>0.63005780346820806</v>
      </c>
      <c r="I28" s="60">
        <v>14</v>
      </c>
      <c r="J28" s="17" t="s">
        <v>21</v>
      </c>
      <c r="K28" s="22">
        <f t="shared" si="0"/>
        <v>0.50588235294117645</v>
      </c>
      <c r="L28" s="22">
        <f t="shared" si="1"/>
        <v>0.63005780346820806</v>
      </c>
      <c r="O28" s="21">
        <v>26</v>
      </c>
      <c r="P28" s="7">
        <f t="shared" ca="1" si="19"/>
        <v>0.58227848101265822</v>
      </c>
      <c r="Q28" s="7">
        <f t="shared" ca="1" si="12"/>
        <v>0.41772151898734178</v>
      </c>
      <c r="R28" s="7">
        <f t="shared" ca="1" si="9"/>
        <v>0.62745098039215685</v>
      </c>
      <c r="S28" s="7">
        <f t="shared" ca="1" si="10"/>
        <v>0.37254901960784315</v>
      </c>
    </row>
    <row r="29" spans="1:19" x14ac:dyDescent="0.15">
      <c r="A29" s="60"/>
      <c r="B29" s="21" t="s">
        <v>22</v>
      </c>
      <c r="C29" s="21">
        <f>[58]PARS_cds_stat!B29</f>
        <v>84</v>
      </c>
      <c r="D29" s="21">
        <f>[58]PARS_cds_stat!C29</f>
        <v>64</v>
      </c>
      <c r="E29" s="22">
        <f t="shared" ref="E29:F29" si="28">C29/(C28+C29)</f>
        <v>0.49411764705882355</v>
      </c>
      <c r="F29" s="22">
        <f t="shared" si="28"/>
        <v>0.36994219653179189</v>
      </c>
      <c r="I29" s="60"/>
      <c r="J29" s="17" t="s">
        <v>22</v>
      </c>
      <c r="K29" s="22">
        <f t="shared" si="0"/>
        <v>0.49411764705882355</v>
      </c>
      <c r="L29" s="22">
        <f t="shared" si="1"/>
        <v>0.36994219653179189</v>
      </c>
      <c r="O29" s="21">
        <v>27</v>
      </c>
      <c r="P29" s="7">
        <f t="shared" ca="1" si="19"/>
        <v>0.55434782608695654</v>
      </c>
      <c r="Q29" s="7">
        <f t="shared" ca="1" si="12"/>
        <v>0.44565217391304346</v>
      </c>
      <c r="R29" s="7">
        <f t="shared" ca="1" si="9"/>
        <v>0.62650602409638556</v>
      </c>
      <c r="S29" s="7">
        <f t="shared" ca="1" si="10"/>
        <v>0.37349397590361444</v>
      </c>
    </row>
    <row r="30" spans="1:19" x14ac:dyDescent="0.15">
      <c r="A30" s="60">
        <v>15</v>
      </c>
      <c r="B30" s="21" t="s">
        <v>21</v>
      </c>
      <c r="C30" s="21">
        <f>[58]PARS_cds_stat!B30</f>
        <v>73</v>
      </c>
      <c r="D30" s="21">
        <f>[58]PARS_cds_stat!C30</f>
        <v>101</v>
      </c>
      <c r="E30" s="22">
        <f t="shared" ref="E30:F30" si="29">C30/(C30+C31)</f>
        <v>0.51048951048951052</v>
      </c>
      <c r="F30" s="22">
        <f t="shared" si="29"/>
        <v>0.62345679012345678</v>
      </c>
      <c r="I30" s="60">
        <v>15</v>
      </c>
      <c r="J30" s="17" t="s">
        <v>21</v>
      </c>
      <c r="K30" s="22">
        <f t="shared" si="0"/>
        <v>0.51048951048951052</v>
      </c>
      <c r="L30" s="22">
        <f t="shared" si="1"/>
        <v>0.62345679012345678</v>
      </c>
      <c r="O30" s="21">
        <v>28</v>
      </c>
      <c r="P30" s="7">
        <f t="shared" ca="1" si="19"/>
        <v>0.5625</v>
      </c>
      <c r="Q30" s="7">
        <f t="shared" ca="1" si="12"/>
        <v>0.4375</v>
      </c>
      <c r="R30" s="7">
        <f t="shared" ca="1" si="9"/>
        <v>0.65753424657534243</v>
      </c>
      <c r="S30" s="7">
        <f t="shared" ca="1" si="10"/>
        <v>0.34246575342465752</v>
      </c>
    </row>
    <row r="31" spans="1:19" x14ac:dyDescent="0.15">
      <c r="A31" s="60"/>
      <c r="B31" s="21" t="s">
        <v>22</v>
      </c>
      <c r="C31" s="21">
        <f>[58]PARS_cds_stat!B31</f>
        <v>70</v>
      </c>
      <c r="D31" s="21">
        <f>[58]PARS_cds_stat!C31</f>
        <v>61</v>
      </c>
      <c r="E31" s="22">
        <f t="shared" ref="E31:F31" si="30">C31/(C30+C31)</f>
        <v>0.48951048951048953</v>
      </c>
      <c r="F31" s="22">
        <f t="shared" si="30"/>
        <v>0.37654320987654322</v>
      </c>
      <c r="I31" s="60"/>
      <c r="J31" s="17" t="s">
        <v>22</v>
      </c>
      <c r="K31" s="22">
        <f t="shared" si="0"/>
        <v>0.48951048951048953</v>
      </c>
      <c r="L31" s="22">
        <f t="shared" si="1"/>
        <v>0.37654320987654322</v>
      </c>
      <c r="O31" s="21">
        <v>29</v>
      </c>
      <c r="P31" s="7">
        <f t="shared" ca="1" si="19"/>
        <v>0.5</v>
      </c>
      <c r="Q31" s="7">
        <f t="shared" ca="1" si="12"/>
        <v>0.5</v>
      </c>
      <c r="R31" s="7">
        <f t="shared" ca="1" si="9"/>
        <v>0.625</v>
      </c>
      <c r="S31" s="7">
        <f t="shared" ca="1" si="10"/>
        <v>0.375</v>
      </c>
    </row>
    <row r="32" spans="1:19" x14ac:dyDescent="0.15">
      <c r="A32" s="60">
        <v>16</v>
      </c>
      <c r="B32" s="21" t="s">
        <v>21</v>
      </c>
      <c r="C32" s="21">
        <f>[58]PARS_cds_stat!B32</f>
        <v>75</v>
      </c>
      <c r="D32" s="21">
        <f>[58]PARS_cds_stat!C32</f>
        <v>89</v>
      </c>
      <c r="E32" s="22">
        <f t="shared" ref="E32:F32" si="31">C32/(C32+C33)</f>
        <v>0.64102564102564108</v>
      </c>
      <c r="F32" s="22">
        <f t="shared" si="31"/>
        <v>0.60544217687074831</v>
      </c>
      <c r="I32" s="60">
        <v>16</v>
      </c>
      <c r="J32" s="17" t="s">
        <v>21</v>
      </c>
      <c r="K32" s="22">
        <f t="shared" si="0"/>
        <v>0.64102564102564108</v>
      </c>
      <c r="L32" s="22">
        <f t="shared" si="1"/>
        <v>0.60544217687074831</v>
      </c>
      <c r="O32" s="21">
        <v>30</v>
      </c>
      <c r="P32" s="7">
        <f t="shared" ca="1" si="19"/>
        <v>0.56521739130434778</v>
      </c>
      <c r="Q32" s="7">
        <f t="shared" ca="1" si="12"/>
        <v>0.43478260869565216</v>
      </c>
      <c r="R32" s="7">
        <f t="shared" ca="1" si="9"/>
        <v>0.625</v>
      </c>
      <c r="S32" s="7">
        <f t="shared" ca="1" si="10"/>
        <v>0.375</v>
      </c>
    </row>
    <row r="33" spans="1:19" x14ac:dyDescent="0.15">
      <c r="A33" s="60"/>
      <c r="B33" s="21" t="s">
        <v>22</v>
      </c>
      <c r="C33" s="21">
        <f>[58]PARS_cds_stat!B33</f>
        <v>42</v>
      </c>
      <c r="D33" s="21">
        <f>[58]PARS_cds_stat!C33</f>
        <v>58</v>
      </c>
      <c r="E33" s="22">
        <f t="shared" ref="E33:F33" si="32">C33/(C32+C33)</f>
        <v>0.35897435897435898</v>
      </c>
      <c r="F33" s="22">
        <f t="shared" si="32"/>
        <v>0.39455782312925169</v>
      </c>
      <c r="I33" s="60"/>
      <c r="J33" s="17" t="s">
        <v>22</v>
      </c>
      <c r="K33" s="22">
        <f t="shared" si="0"/>
        <v>0.35897435897435898</v>
      </c>
      <c r="L33" s="22">
        <f t="shared" si="1"/>
        <v>0.39455782312925169</v>
      </c>
      <c r="O33" s="21">
        <v>31</v>
      </c>
      <c r="P33" s="7">
        <f t="shared" ca="1" si="19"/>
        <v>0.625</v>
      </c>
      <c r="Q33" s="7">
        <f t="shared" ca="1" si="12"/>
        <v>0.375</v>
      </c>
      <c r="R33" s="7">
        <f t="shared" ca="1" si="9"/>
        <v>0.64935064935064934</v>
      </c>
      <c r="S33" s="7">
        <f t="shared" ca="1" si="10"/>
        <v>0.35064935064935066</v>
      </c>
    </row>
    <row r="34" spans="1:19" x14ac:dyDescent="0.15">
      <c r="A34" s="60">
        <v>17</v>
      </c>
      <c r="B34" s="21" t="s">
        <v>21</v>
      </c>
      <c r="C34" s="21">
        <f>[58]PARS_cds_stat!B34</f>
        <v>61</v>
      </c>
      <c r="D34" s="21">
        <f>[58]PARS_cds_stat!C34</f>
        <v>89</v>
      </c>
      <c r="E34" s="22">
        <f t="shared" ref="E34:F34" si="33">C34/(C34+C35)</f>
        <v>0.46564885496183206</v>
      </c>
      <c r="F34" s="22">
        <f t="shared" si="33"/>
        <v>0.72357723577235777</v>
      </c>
      <c r="I34" s="60">
        <v>17</v>
      </c>
      <c r="J34" s="17" t="s">
        <v>21</v>
      </c>
      <c r="K34" s="22">
        <f t="shared" si="0"/>
        <v>0.46564885496183206</v>
      </c>
      <c r="L34" s="22">
        <f t="shared" si="1"/>
        <v>0.72357723577235777</v>
      </c>
      <c r="O34" s="21">
        <v>32</v>
      </c>
      <c r="P34" s="7">
        <f t="shared" ca="1" si="19"/>
        <v>0.58974358974358976</v>
      </c>
      <c r="Q34" s="7">
        <f t="shared" ca="1" si="12"/>
        <v>0.41025641025641024</v>
      </c>
      <c r="R34" s="7">
        <f t="shared" ca="1" si="9"/>
        <v>0.67213114754098358</v>
      </c>
      <c r="S34" s="7">
        <f t="shared" ca="1" si="10"/>
        <v>0.32786885245901637</v>
      </c>
    </row>
    <row r="35" spans="1:19" x14ac:dyDescent="0.15">
      <c r="A35" s="60"/>
      <c r="B35" s="21" t="s">
        <v>22</v>
      </c>
      <c r="C35" s="21">
        <f>[58]PARS_cds_stat!B35</f>
        <v>70</v>
      </c>
      <c r="D35" s="21">
        <f>[58]PARS_cds_stat!C35</f>
        <v>34</v>
      </c>
      <c r="E35" s="22">
        <f t="shared" ref="E35:F35" si="34">C35/(C34+C35)</f>
        <v>0.53435114503816794</v>
      </c>
      <c r="F35" s="22">
        <f t="shared" si="34"/>
        <v>0.27642276422764228</v>
      </c>
      <c r="I35" s="60"/>
      <c r="J35" s="17" t="s">
        <v>22</v>
      </c>
      <c r="K35" s="22">
        <f t="shared" si="0"/>
        <v>0.53435114503816794</v>
      </c>
      <c r="L35" s="22">
        <f t="shared" si="1"/>
        <v>0.27642276422764228</v>
      </c>
      <c r="O35" s="21">
        <v>33</v>
      </c>
      <c r="P35" s="7">
        <f t="shared" ca="1" si="19"/>
        <v>0.52702702702702697</v>
      </c>
      <c r="Q35" s="7">
        <f t="shared" ca="1" si="12"/>
        <v>0.47297297297297297</v>
      </c>
      <c r="R35" s="7">
        <f t="shared" ca="1" si="9"/>
        <v>0.64150943396226412</v>
      </c>
      <c r="S35" s="7">
        <f t="shared" ca="1" si="10"/>
        <v>0.35849056603773582</v>
      </c>
    </row>
    <row r="36" spans="1:19" x14ac:dyDescent="0.15">
      <c r="A36" s="60">
        <v>18</v>
      </c>
      <c r="B36" s="21" t="s">
        <v>21</v>
      </c>
      <c r="C36" s="21">
        <f>[58]PARS_cds_stat!B36</f>
        <v>60</v>
      </c>
      <c r="D36" s="21">
        <f>[58]PARS_cds_stat!C36</f>
        <v>69</v>
      </c>
      <c r="E36" s="22">
        <f t="shared" ref="E36:F36" si="35">C36/(C36+C37)</f>
        <v>0.52631578947368418</v>
      </c>
      <c r="F36" s="22">
        <f t="shared" si="35"/>
        <v>0.71134020618556704</v>
      </c>
      <c r="I36" s="60">
        <v>18</v>
      </c>
      <c r="J36" s="17" t="s">
        <v>21</v>
      </c>
      <c r="K36" s="22">
        <f t="shared" si="0"/>
        <v>0.52631578947368418</v>
      </c>
      <c r="L36" s="22">
        <f t="shared" si="1"/>
        <v>0.71134020618556704</v>
      </c>
      <c r="O36" s="21">
        <v>34</v>
      </c>
      <c r="P36" s="7">
        <f t="shared" ca="1" si="19"/>
        <v>0.55555555555555558</v>
      </c>
      <c r="Q36" s="7">
        <f t="shared" ca="1" si="12"/>
        <v>0.44444444444444442</v>
      </c>
      <c r="R36" s="7">
        <f t="shared" ca="1" si="9"/>
        <v>0.660377358490566</v>
      </c>
      <c r="S36" s="7">
        <f t="shared" ca="1" si="10"/>
        <v>0.33962264150943394</v>
      </c>
    </row>
    <row r="37" spans="1:19" x14ac:dyDescent="0.15">
      <c r="A37" s="60"/>
      <c r="B37" s="21" t="s">
        <v>22</v>
      </c>
      <c r="C37" s="21">
        <f>[58]PARS_cds_stat!B37</f>
        <v>54</v>
      </c>
      <c r="D37" s="21">
        <f>[58]PARS_cds_stat!C37</f>
        <v>28</v>
      </c>
      <c r="E37" s="22">
        <f t="shared" ref="E37:F37" si="36">C37/(C36+C37)</f>
        <v>0.47368421052631576</v>
      </c>
      <c r="F37" s="22">
        <f t="shared" si="36"/>
        <v>0.28865979381443296</v>
      </c>
      <c r="I37" s="60"/>
      <c r="J37" s="17" t="s">
        <v>22</v>
      </c>
      <c r="K37" s="22">
        <f t="shared" si="0"/>
        <v>0.47368421052631576</v>
      </c>
      <c r="L37" s="22">
        <f t="shared" si="1"/>
        <v>0.28865979381443296</v>
      </c>
      <c r="O37" s="21">
        <v>35</v>
      </c>
      <c r="P37" s="7">
        <f t="shared" ca="1" si="19"/>
        <v>0.45</v>
      </c>
      <c r="Q37" s="7">
        <f t="shared" ca="1" si="12"/>
        <v>0.55000000000000004</v>
      </c>
      <c r="R37" s="7">
        <f t="shared" ca="1" si="9"/>
        <v>0.61818181818181817</v>
      </c>
      <c r="S37" s="7">
        <f t="shared" ca="1" si="10"/>
        <v>0.38181818181818183</v>
      </c>
    </row>
    <row r="38" spans="1:19" x14ac:dyDescent="0.15">
      <c r="A38" s="60">
        <v>19</v>
      </c>
      <c r="B38" s="21" t="s">
        <v>21</v>
      </c>
      <c r="C38" s="21">
        <f>[58]PARS_cds_stat!B38</f>
        <v>66</v>
      </c>
      <c r="D38" s="21">
        <f>[58]PARS_cds_stat!C38</f>
        <v>84</v>
      </c>
      <c r="E38" s="22">
        <f t="shared" ref="E38:F38" si="37">C38/(C38+C39)</f>
        <v>0.6</v>
      </c>
      <c r="F38" s="22">
        <f t="shared" si="37"/>
        <v>0.63157894736842102</v>
      </c>
      <c r="I38" s="60">
        <v>19</v>
      </c>
      <c r="J38" s="17" t="s">
        <v>21</v>
      </c>
      <c r="K38" s="22">
        <f t="shared" si="0"/>
        <v>0.6</v>
      </c>
      <c r="L38" s="22">
        <f t="shared" si="1"/>
        <v>0.63157894736842102</v>
      </c>
      <c r="O38" s="21">
        <v>36</v>
      </c>
      <c r="P38" s="7">
        <f t="shared" ca="1" si="19"/>
        <v>0.5</v>
      </c>
      <c r="Q38" s="7">
        <f t="shared" ca="1" si="12"/>
        <v>0.5</v>
      </c>
      <c r="R38" s="7">
        <f t="shared" ca="1" si="9"/>
        <v>0.76119402985074625</v>
      </c>
      <c r="S38" s="7">
        <f t="shared" ca="1" si="10"/>
        <v>0.23880597014925373</v>
      </c>
    </row>
    <row r="39" spans="1:19" x14ac:dyDescent="0.15">
      <c r="A39" s="60"/>
      <c r="B39" s="21" t="s">
        <v>22</v>
      </c>
      <c r="C39" s="21">
        <f>[58]PARS_cds_stat!B39</f>
        <v>44</v>
      </c>
      <c r="D39" s="21">
        <f>[58]PARS_cds_stat!C39</f>
        <v>49</v>
      </c>
      <c r="E39" s="22">
        <f t="shared" ref="E39:F39" si="38">C39/(C38+C39)</f>
        <v>0.4</v>
      </c>
      <c r="F39" s="22">
        <f t="shared" si="38"/>
        <v>0.36842105263157893</v>
      </c>
      <c r="I39" s="60"/>
      <c r="J39" s="17" t="s">
        <v>22</v>
      </c>
      <c r="K39" s="22">
        <f t="shared" si="0"/>
        <v>0.4</v>
      </c>
      <c r="L39" s="22">
        <f t="shared" si="1"/>
        <v>0.36842105263157893</v>
      </c>
      <c r="O39" s="21">
        <v>37</v>
      </c>
      <c r="P39" s="7">
        <f t="shared" ca="1" si="19"/>
        <v>0.5757575757575758</v>
      </c>
      <c r="Q39" s="7">
        <f t="shared" ca="1" si="12"/>
        <v>0.42424242424242425</v>
      </c>
      <c r="R39" s="7">
        <f t="shared" ca="1" si="9"/>
        <v>0.63636363636363635</v>
      </c>
      <c r="S39" s="7">
        <f t="shared" ca="1" si="10"/>
        <v>0.36363636363636365</v>
      </c>
    </row>
    <row r="40" spans="1:19" x14ac:dyDescent="0.15">
      <c r="A40" s="60">
        <v>20</v>
      </c>
      <c r="B40" s="21" t="s">
        <v>21</v>
      </c>
      <c r="C40" s="21">
        <f>[58]PARS_cds_stat!B40</f>
        <v>51</v>
      </c>
      <c r="D40" s="21">
        <f>[58]PARS_cds_stat!C40</f>
        <v>67</v>
      </c>
      <c r="E40" s="22">
        <f t="shared" ref="E40:F40" si="39">C40/(C40+C41)</f>
        <v>0.54838709677419351</v>
      </c>
      <c r="F40" s="22">
        <f t="shared" si="39"/>
        <v>0.70526315789473681</v>
      </c>
      <c r="I40" s="60">
        <v>20</v>
      </c>
      <c r="J40" s="17" t="s">
        <v>21</v>
      </c>
      <c r="K40" s="22">
        <f t="shared" si="0"/>
        <v>0.54838709677419351</v>
      </c>
      <c r="L40" s="22">
        <f t="shared" si="1"/>
        <v>0.70526315789473681</v>
      </c>
      <c r="O40" s="21">
        <v>38</v>
      </c>
      <c r="P40" s="7">
        <f t="shared" ca="1" si="19"/>
        <v>0.45454545454545453</v>
      </c>
      <c r="Q40" s="7">
        <f t="shared" ca="1" si="12"/>
        <v>0.54545454545454541</v>
      </c>
      <c r="R40" s="7">
        <f t="shared" ca="1" si="9"/>
        <v>0.5714285714285714</v>
      </c>
      <c r="S40" s="7">
        <f t="shared" ca="1" si="10"/>
        <v>0.42857142857142855</v>
      </c>
    </row>
    <row r="41" spans="1:19" x14ac:dyDescent="0.15">
      <c r="A41" s="60"/>
      <c r="B41" s="21" t="s">
        <v>22</v>
      </c>
      <c r="C41" s="21">
        <f>[58]PARS_cds_stat!B41</f>
        <v>42</v>
      </c>
      <c r="D41" s="21">
        <f>[58]PARS_cds_stat!C41</f>
        <v>28</v>
      </c>
      <c r="E41" s="22">
        <f t="shared" ref="E41:F41" si="40">C41/(C40+C41)</f>
        <v>0.45161290322580644</v>
      </c>
      <c r="F41" s="22">
        <f t="shared" si="40"/>
        <v>0.29473684210526313</v>
      </c>
      <c r="I41" s="60"/>
      <c r="J41" s="17" t="s">
        <v>22</v>
      </c>
      <c r="K41" s="22">
        <f t="shared" si="0"/>
        <v>0.45161290322580644</v>
      </c>
      <c r="L41" s="22">
        <f t="shared" si="1"/>
        <v>0.29473684210526313</v>
      </c>
      <c r="O41" s="21">
        <v>39</v>
      </c>
      <c r="P41" s="7">
        <f t="shared" ca="1" si="19"/>
        <v>0.65714285714285714</v>
      </c>
      <c r="Q41" s="7">
        <f t="shared" ca="1" si="12"/>
        <v>0.34285714285714286</v>
      </c>
      <c r="R41" s="7">
        <f t="shared" ca="1" si="9"/>
        <v>0.609375</v>
      </c>
      <c r="S41" s="7">
        <f t="shared" ca="1" si="10"/>
        <v>0.390625</v>
      </c>
    </row>
    <row r="42" spans="1:19" x14ac:dyDescent="0.15">
      <c r="A42" s="60">
        <v>21</v>
      </c>
      <c r="B42" s="21" t="s">
        <v>21</v>
      </c>
      <c r="C42" s="21">
        <f>[58]PARS_cds_stat!B42</f>
        <v>39</v>
      </c>
      <c r="D42" s="21">
        <f>[58]PARS_cds_stat!C42</f>
        <v>49</v>
      </c>
      <c r="E42" s="22">
        <f t="shared" ref="E42:F42" si="41">C42/(C42+C43)</f>
        <v>0.44318181818181818</v>
      </c>
      <c r="F42" s="22">
        <f t="shared" si="41"/>
        <v>0.57647058823529407</v>
      </c>
      <c r="I42" s="60">
        <v>21</v>
      </c>
      <c r="J42" s="17" t="s">
        <v>21</v>
      </c>
      <c r="K42" s="22">
        <f t="shared" si="0"/>
        <v>0.44318181818181818</v>
      </c>
      <c r="L42" s="22">
        <f t="shared" si="1"/>
        <v>0.57647058823529407</v>
      </c>
      <c r="O42" s="21">
        <v>40</v>
      </c>
      <c r="P42" s="7">
        <f t="shared" ca="1" si="19"/>
        <v>0.55072463768115942</v>
      </c>
      <c r="Q42" s="7">
        <f t="shared" ca="1" si="12"/>
        <v>0.44927536231884058</v>
      </c>
      <c r="R42" s="7">
        <f t="shared" ca="1" si="9"/>
        <v>0.62264150943396224</v>
      </c>
      <c r="S42" s="7">
        <f t="shared" ca="1" si="10"/>
        <v>0.37735849056603776</v>
      </c>
    </row>
    <row r="43" spans="1:19" x14ac:dyDescent="0.15">
      <c r="A43" s="60"/>
      <c r="B43" s="21" t="s">
        <v>22</v>
      </c>
      <c r="C43" s="21">
        <f>[58]PARS_cds_stat!B43</f>
        <v>49</v>
      </c>
      <c r="D43" s="21">
        <f>[58]PARS_cds_stat!C43</f>
        <v>36</v>
      </c>
      <c r="E43" s="22">
        <f t="shared" ref="E43:F43" si="42">C43/(C42+C43)</f>
        <v>0.55681818181818177</v>
      </c>
      <c r="F43" s="22">
        <f t="shared" si="42"/>
        <v>0.42352941176470588</v>
      </c>
      <c r="I43" s="60"/>
      <c r="J43" s="17" t="s">
        <v>22</v>
      </c>
      <c r="K43" s="22">
        <f t="shared" si="0"/>
        <v>0.55681818181818177</v>
      </c>
      <c r="L43" s="22">
        <f t="shared" si="1"/>
        <v>0.42352941176470588</v>
      </c>
      <c r="O43" s="21">
        <v>41</v>
      </c>
      <c r="P43" s="7">
        <f t="shared" ca="1" si="19"/>
        <v>0.64179104477611937</v>
      </c>
      <c r="Q43" s="7">
        <f t="shared" ca="1" si="12"/>
        <v>0.35820895522388058</v>
      </c>
      <c r="R43" s="7">
        <f t="shared" ca="1" si="9"/>
        <v>0.61224489795918369</v>
      </c>
      <c r="S43" s="7">
        <f t="shared" ca="1" si="10"/>
        <v>0.38775510204081631</v>
      </c>
    </row>
    <row r="44" spans="1:19" x14ac:dyDescent="0.15">
      <c r="A44" s="60">
        <v>22</v>
      </c>
      <c r="B44" s="21" t="s">
        <v>21</v>
      </c>
      <c r="C44" s="21">
        <f>[58]PARS_cds_stat!B44</f>
        <v>53</v>
      </c>
      <c r="D44" s="21">
        <f>[58]PARS_cds_stat!C44</f>
        <v>50</v>
      </c>
      <c r="E44" s="22">
        <f t="shared" ref="E44:F44" si="43">C44/(C44+C45)</f>
        <v>0.63095238095238093</v>
      </c>
      <c r="F44" s="22">
        <f t="shared" si="43"/>
        <v>0.6097560975609756</v>
      </c>
      <c r="I44" s="60">
        <v>22</v>
      </c>
      <c r="J44" s="17" t="s">
        <v>21</v>
      </c>
      <c r="K44" s="22">
        <f t="shared" si="0"/>
        <v>0.63095238095238093</v>
      </c>
      <c r="L44" s="22">
        <f t="shared" si="1"/>
        <v>0.6097560975609756</v>
      </c>
      <c r="O44" s="21">
        <v>42</v>
      </c>
      <c r="P44" s="7">
        <f t="shared" ca="1" si="19"/>
        <v>0.63043478260869568</v>
      </c>
      <c r="Q44" s="7">
        <f t="shared" ca="1" si="12"/>
        <v>0.36956521739130432</v>
      </c>
      <c r="R44" s="7">
        <f t="shared" ca="1" si="9"/>
        <v>0.59615384615384615</v>
      </c>
      <c r="S44" s="7">
        <f t="shared" ca="1" si="10"/>
        <v>0.40384615384615385</v>
      </c>
    </row>
    <row r="45" spans="1:19" x14ac:dyDescent="0.15">
      <c r="A45" s="60"/>
      <c r="B45" s="21" t="s">
        <v>22</v>
      </c>
      <c r="C45" s="21">
        <f>[58]PARS_cds_stat!B45</f>
        <v>31</v>
      </c>
      <c r="D45" s="21">
        <f>[58]PARS_cds_stat!C45</f>
        <v>32</v>
      </c>
      <c r="E45" s="22">
        <f t="shared" ref="E45:F45" si="44">C45/(C44+C45)</f>
        <v>0.36904761904761907</v>
      </c>
      <c r="F45" s="22">
        <f t="shared" si="44"/>
        <v>0.3902439024390244</v>
      </c>
      <c r="I45" s="60"/>
      <c r="J45" s="17" t="s">
        <v>22</v>
      </c>
      <c r="K45" s="22">
        <f t="shared" si="0"/>
        <v>0.36904761904761907</v>
      </c>
      <c r="L45" s="22">
        <f t="shared" si="1"/>
        <v>0.3902439024390244</v>
      </c>
      <c r="O45" s="21">
        <v>43</v>
      </c>
      <c r="P45" s="7">
        <f t="shared" ca="1" si="19"/>
        <v>0.53448275862068961</v>
      </c>
      <c r="Q45" s="7">
        <f t="shared" ca="1" si="12"/>
        <v>0.46551724137931033</v>
      </c>
      <c r="R45" s="7">
        <f t="shared" ca="1" si="9"/>
        <v>0.7</v>
      </c>
      <c r="S45" s="7">
        <f t="shared" ca="1" si="10"/>
        <v>0.3</v>
      </c>
    </row>
    <row r="46" spans="1:19" x14ac:dyDescent="0.15">
      <c r="A46" s="60">
        <v>23</v>
      </c>
      <c r="B46" s="21" t="s">
        <v>21</v>
      </c>
      <c r="C46" s="21">
        <f>[58]PARS_cds_stat!B46</f>
        <v>54</v>
      </c>
      <c r="D46" s="21">
        <f>[58]PARS_cds_stat!C46</f>
        <v>52</v>
      </c>
      <c r="E46" s="22">
        <f t="shared" ref="E46:F46" si="45">C46/(C46+C47)</f>
        <v>0.51428571428571423</v>
      </c>
      <c r="F46" s="22">
        <f t="shared" si="45"/>
        <v>0.62650602409638556</v>
      </c>
      <c r="I46" s="60">
        <v>23</v>
      </c>
      <c r="J46" s="17" t="s">
        <v>21</v>
      </c>
      <c r="K46" s="22">
        <f t="shared" si="0"/>
        <v>0.51428571428571423</v>
      </c>
      <c r="L46" s="22">
        <f t="shared" si="1"/>
        <v>0.62650602409638556</v>
      </c>
      <c r="O46" s="21">
        <v>44</v>
      </c>
      <c r="P46" s="7">
        <f t="shared" ca="1" si="19"/>
        <v>0.5892857142857143</v>
      </c>
      <c r="Q46" s="7">
        <f t="shared" ca="1" si="12"/>
        <v>0.4107142857142857</v>
      </c>
      <c r="R46" s="7">
        <f t="shared" ca="1" si="9"/>
        <v>0.68518518518518523</v>
      </c>
      <c r="S46" s="7">
        <f t="shared" ca="1" si="10"/>
        <v>0.31481481481481483</v>
      </c>
    </row>
    <row r="47" spans="1:19" x14ac:dyDescent="0.15">
      <c r="A47" s="60"/>
      <c r="B47" s="21" t="s">
        <v>22</v>
      </c>
      <c r="C47" s="21">
        <f>[58]PARS_cds_stat!B47</f>
        <v>51</v>
      </c>
      <c r="D47" s="21">
        <f>[58]PARS_cds_stat!C47</f>
        <v>31</v>
      </c>
      <c r="E47" s="22">
        <f t="shared" ref="E47:F47" si="46">C47/(C46+C47)</f>
        <v>0.48571428571428571</v>
      </c>
      <c r="F47" s="22">
        <f t="shared" si="46"/>
        <v>0.37349397590361444</v>
      </c>
      <c r="I47" s="60"/>
      <c r="J47" s="17" t="s">
        <v>22</v>
      </c>
      <c r="K47" s="22">
        <f t="shared" si="0"/>
        <v>0.48571428571428571</v>
      </c>
      <c r="L47" s="22">
        <f t="shared" si="1"/>
        <v>0.37349397590361444</v>
      </c>
      <c r="O47" s="21">
        <v>45</v>
      </c>
      <c r="P47" s="7">
        <f t="shared" ca="1" si="19"/>
        <v>0.63265306122448983</v>
      </c>
      <c r="Q47" s="7">
        <f t="shared" ca="1" si="12"/>
        <v>0.36734693877551022</v>
      </c>
      <c r="R47" s="7">
        <f t="shared" ca="1" si="9"/>
        <v>0.5490196078431373</v>
      </c>
      <c r="S47" s="7">
        <f t="shared" ca="1" si="10"/>
        <v>0.45098039215686275</v>
      </c>
    </row>
    <row r="48" spans="1:19" x14ac:dyDescent="0.15">
      <c r="A48" s="60">
        <v>24</v>
      </c>
      <c r="B48" s="21" t="s">
        <v>21</v>
      </c>
      <c r="C48" s="21">
        <f>[58]PARS_cds_stat!B48</f>
        <v>47</v>
      </c>
      <c r="D48" s="21">
        <f>[58]PARS_cds_stat!C48</f>
        <v>56</v>
      </c>
      <c r="E48" s="22">
        <f t="shared" ref="E48:F48" si="47">C48/(C48+C49)</f>
        <v>0.5280898876404494</v>
      </c>
      <c r="F48" s="22">
        <f t="shared" si="47"/>
        <v>0.6292134831460674</v>
      </c>
      <c r="I48" s="60">
        <v>24</v>
      </c>
      <c r="J48" s="17" t="s">
        <v>21</v>
      </c>
      <c r="K48" s="22">
        <f t="shared" si="0"/>
        <v>0.5280898876404494</v>
      </c>
      <c r="L48" s="22">
        <f t="shared" si="1"/>
        <v>0.6292134831460674</v>
      </c>
      <c r="O48" s="21">
        <v>46</v>
      </c>
      <c r="P48" s="7">
        <f t="shared" ca="1" si="19"/>
        <v>0.50943396226415094</v>
      </c>
      <c r="Q48" s="7">
        <f t="shared" ca="1" si="12"/>
        <v>0.49056603773584906</v>
      </c>
      <c r="R48" s="7">
        <f t="shared" ca="1" si="9"/>
        <v>0.57999999999999996</v>
      </c>
      <c r="S48" s="7">
        <f t="shared" ca="1" si="10"/>
        <v>0.42</v>
      </c>
    </row>
    <row r="49" spans="1:19" x14ac:dyDescent="0.15">
      <c r="A49" s="60"/>
      <c r="B49" s="21" t="s">
        <v>22</v>
      </c>
      <c r="C49" s="21">
        <f>[58]PARS_cds_stat!B49</f>
        <v>42</v>
      </c>
      <c r="D49" s="21">
        <f>[58]PARS_cds_stat!C49</f>
        <v>33</v>
      </c>
      <c r="E49" s="22">
        <f t="shared" ref="E49:F49" si="48">C49/(C48+C49)</f>
        <v>0.47191011235955055</v>
      </c>
      <c r="F49" s="22">
        <f t="shared" si="48"/>
        <v>0.3707865168539326</v>
      </c>
      <c r="I49" s="60"/>
      <c r="J49" s="17" t="s">
        <v>22</v>
      </c>
      <c r="K49" s="22">
        <f t="shared" si="0"/>
        <v>0.47191011235955055</v>
      </c>
      <c r="L49" s="22">
        <f t="shared" si="1"/>
        <v>0.3707865168539326</v>
      </c>
      <c r="O49" s="21">
        <v>47</v>
      </c>
      <c r="P49" s="7">
        <f t="shared" ca="1" si="19"/>
        <v>0.60784313725490191</v>
      </c>
      <c r="Q49" s="7">
        <f t="shared" ca="1" si="12"/>
        <v>0.39215686274509803</v>
      </c>
      <c r="R49" s="7">
        <f t="shared" ca="1" si="9"/>
        <v>0.5</v>
      </c>
      <c r="S49" s="7">
        <f t="shared" ca="1" si="10"/>
        <v>0.5</v>
      </c>
    </row>
    <row r="50" spans="1:19" x14ac:dyDescent="0.15">
      <c r="A50" s="60">
        <v>25</v>
      </c>
      <c r="B50" s="21" t="s">
        <v>21</v>
      </c>
      <c r="C50" s="21">
        <f>[58]PARS_cds_stat!B50</f>
        <v>47</v>
      </c>
      <c r="D50" s="21">
        <f>[58]PARS_cds_stat!C50</f>
        <v>57</v>
      </c>
      <c r="E50" s="22">
        <f t="shared" ref="E50:F50" si="49">C50/(C50+C51)</f>
        <v>0.55294117647058827</v>
      </c>
      <c r="F50" s="22">
        <f t="shared" si="49"/>
        <v>0.70370370370370372</v>
      </c>
      <c r="I50" s="60">
        <v>25</v>
      </c>
      <c r="J50" s="17" t="s">
        <v>21</v>
      </c>
      <c r="K50" s="22">
        <f t="shared" si="0"/>
        <v>0.55294117647058827</v>
      </c>
      <c r="L50" s="22">
        <f t="shared" si="1"/>
        <v>0.70370370370370372</v>
      </c>
      <c r="O50" s="21">
        <v>48</v>
      </c>
      <c r="P50" s="7">
        <f t="shared" ca="1" si="19"/>
        <v>0.57377049180327866</v>
      </c>
      <c r="Q50" s="7">
        <f t="shared" ca="1" si="12"/>
        <v>0.42622950819672129</v>
      </c>
      <c r="R50" s="7">
        <f t="shared" ca="1" si="9"/>
        <v>0.63157894736842102</v>
      </c>
      <c r="S50" s="7">
        <f t="shared" ca="1" si="10"/>
        <v>0.36842105263157893</v>
      </c>
    </row>
    <row r="51" spans="1:19" x14ac:dyDescent="0.15">
      <c r="A51" s="60"/>
      <c r="B51" s="21" t="s">
        <v>22</v>
      </c>
      <c r="C51" s="21">
        <f>[58]PARS_cds_stat!B51</f>
        <v>38</v>
      </c>
      <c r="D51" s="21">
        <f>[58]PARS_cds_stat!C51</f>
        <v>24</v>
      </c>
      <c r="E51" s="22">
        <f t="shared" ref="E51:F51" si="50">C51/(C50+C51)</f>
        <v>0.44705882352941179</v>
      </c>
      <c r="F51" s="22">
        <f t="shared" si="50"/>
        <v>0.29629629629629628</v>
      </c>
      <c r="I51" s="60"/>
      <c r="J51" s="17" t="s">
        <v>22</v>
      </c>
      <c r="K51" s="22">
        <f t="shared" si="0"/>
        <v>0.44705882352941179</v>
      </c>
      <c r="L51" s="22">
        <f t="shared" si="1"/>
        <v>0.29629629629629628</v>
      </c>
      <c r="O51" s="21">
        <v>49</v>
      </c>
      <c r="P51" s="7">
        <f t="shared" ca="1" si="19"/>
        <v>0.44067796610169491</v>
      </c>
      <c r="Q51" s="7">
        <f t="shared" ca="1" si="12"/>
        <v>0.55932203389830504</v>
      </c>
      <c r="R51" s="7">
        <f t="shared" ca="1" si="9"/>
        <v>0.57692307692307687</v>
      </c>
      <c r="S51" s="7">
        <f t="shared" ca="1" si="10"/>
        <v>0.42307692307692307</v>
      </c>
    </row>
    <row r="52" spans="1:19" x14ac:dyDescent="0.15">
      <c r="A52" s="60">
        <v>26</v>
      </c>
      <c r="B52" s="21" t="s">
        <v>21</v>
      </c>
      <c r="C52" s="21">
        <f>[58]PARS_cds_stat!B52</f>
        <v>46</v>
      </c>
      <c r="D52" s="21">
        <f>[58]PARS_cds_stat!C52</f>
        <v>64</v>
      </c>
      <c r="E52" s="22">
        <f t="shared" ref="E52:F52" si="51">C52/(C52+C53)</f>
        <v>0.58227848101265822</v>
      </c>
      <c r="F52" s="22">
        <f t="shared" si="51"/>
        <v>0.62745098039215685</v>
      </c>
      <c r="I52" s="60">
        <v>26</v>
      </c>
      <c r="J52" s="17" t="s">
        <v>21</v>
      </c>
      <c r="K52" s="22">
        <f t="shared" si="0"/>
        <v>0.58227848101265822</v>
      </c>
      <c r="L52" s="22">
        <f t="shared" si="1"/>
        <v>0.62745098039215685</v>
      </c>
      <c r="O52" s="21">
        <v>50</v>
      </c>
      <c r="P52" s="7">
        <f t="shared" ca="1" si="19"/>
        <v>0.4576271186440678</v>
      </c>
      <c r="Q52" s="7">
        <f t="shared" ca="1" si="12"/>
        <v>0.5423728813559322</v>
      </c>
      <c r="R52" s="7">
        <f t="shared" ca="1" si="9"/>
        <v>0.63043478260869568</v>
      </c>
      <c r="S52" s="7">
        <f t="shared" ca="1" si="10"/>
        <v>0.36956521739130432</v>
      </c>
    </row>
    <row r="53" spans="1:19" x14ac:dyDescent="0.15">
      <c r="A53" s="60"/>
      <c r="B53" s="21" t="s">
        <v>22</v>
      </c>
      <c r="C53" s="21">
        <f>[58]PARS_cds_stat!B53</f>
        <v>33</v>
      </c>
      <c r="D53" s="21">
        <f>[58]PARS_cds_stat!C53</f>
        <v>38</v>
      </c>
      <c r="E53" s="22">
        <f t="shared" ref="E53:F53" si="52">C53/(C52+C53)</f>
        <v>0.41772151898734178</v>
      </c>
      <c r="F53" s="22">
        <f t="shared" si="52"/>
        <v>0.37254901960784315</v>
      </c>
      <c r="I53" s="60"/>
      <c r="J53" s="17" t="s">
        <v>22</v>
      </c>
      <c r="K53" s="22">
        <f t="shared" si="0"/>
        <v>0.41772151898734178</v>
      </c>
      <c r="L53" s="22">
        <f t="shared" si="1"/>
        <v>0.37254901960784315</v>
      </c>
      <c r="O53" s="21">
        <v>51</v>
      </c>
      <c r="P53" s="7">
        <f t="shared" ca="1" si="19"/>
        <v>0.61111111111111116</v>
      </c>
      <c r="Q53" s="7">
        <f t="shared" ca="1" si="12"/>
        <v>0.3888888888888889</v>
      </c>
      <c r="R53" s="7">
        <f t="shared" ca="1" si="9"/>
        <v>0.62857142857142856</v>
      </c>
      <c r="S53" s="7">
        <f t="shared" ca="1" si="10"/>
        <v>0.37142857142857144</v>
      </c>
    </row>
    <row r="54" spans="1:19" x14ac:dyDescent="0.15">
      <c r="A54" s="60">
        <v>27</v>
      </c>
      <c r="B54" s="21" t="s">
        <v>21</v>
      </c>
      <c r="C54" s="21">
        <f>[58]PARS_cds_stat!B54</f>
        <v>51</v>
      </c>
      <c r="D54" s="21">
        <f>[58]PARS_cds_stat!C54</f>
        <v>52</v>
      </c>
      <c r="E54" s="22">
        <f t="shared" ref="E54:F54" si="53">C54/(C54+C55)</f>
        <v>0.55434782608695654</v>
      </c>
      <c r="F54" s="22">
        <f t="shared" si="53"/>
        <v>0.62650602409638556</v>
      </c>
      <c r="I54" s="60">
        <v>27</v>
      </c>
      <c r="J54" s="17" t="s">
        <v>21</v>
      </c>
      <c r="K54" s="22">
        <f t="shared" si="0"/>
        <v>0.55434782608695654</v>
      </c>
      <c r="L54" s="22">
        <f t="shared" si="1"/>
        <v>0.62650602409638556</v>
      </c>
      <c r="O54" s="21">
        <v>52</v>
      </c>
      <c r="P54" s="7">
        <f t="shared" ca="1" si="19"/>
        <v>0.58490566037735847</v>
      </c>
      <c r="Q54" s="7">
        <f t="shared" ca="1" si="12"/>
        <v>0.41509433962264153</v>
      </c>
      <c r="R54" s="7">
        <f t="shared" ca="1" si="9"/>
        <v>0.61111111111111116</v>
      </c>
      <c r="S54" s="7">
        <f t="shared" ca="1" si="10"/>
        <v>0.3888888888888889</v>
      </c>
    </row>
    <row r="55" spans="1:19" x14ac:dyDescent="0.15">
      <c r="A55" s="60"/>
      <c r="B55" s="21" t="s">
        <v>22</v>
      </c>
      <c r="C55" s="21">
        <f>[58]PARS_cds_stat!B55</f>
        <v>41</v>
      </c>
      <c r="D55" s="21">
        <f>[58]PARS_cds_stat!C55</f>
        <v>31</v>
      </c>
      <c r="E55" s="22">
        <f t="shared" ref="E55:F55" si="54">C55/(C54+C55)</f>
        <v>0.44565217391304346</v>
      </c>
      <c r="F55" s="22">
        <f t="shared" si="54"/>
        <v>0.37349397590361444</v>
      </c>
      <c r="I55" s="60"/>
      <c r="J55" s="17" t="s">
        <v>22</v>
      </c>
      <c r="K55" s="22">
        <f t="shared" si="0"/>
        <v>0.44565217391304346</v>
      </c>
      <c r="L55" s="22">
        <f t="shared" si="1"/>
        <v>0.37349397590361444</v>
      </c>
      <c r="O55" s="21">
        <v>53</v>
      </c>
      <c r="P55" s="7">
        <f t="shared" ca="1" si="19"/>
        <v>0.48979591836734693</v>
      </c>
      <c r="Q55" s="7">
        <f t="shared" ca="1" si="12"/>
        <v>0.51020408163265307</v>
      </c>
      <c r="R55" s="7">
        <f t="shared" ca="1" si="9"/>
        <v>0.68421052631578949</v>
      </c>
      <c r="S55" s="7">
        <f t="shared" ca="1" si="10"/>
        <v>0.31578947368421051</v>
      </c>
    </row>
    <row r="56" spans="1:19" x14ac:dyDescent="0.15">
      <c r="A56" s="60">
        <v>28</v>
      </c>
      <c r="B56" s="21" t="s">
        <v>21</v>
      </c>
      <c r="C56" s="21">
        <f>[58]PARS_cds_stat!B56</f>
        <v>45</v>
      </c>
      <c r="D56" s="21">
        <f>[58]PARS_cds_stat!C56</f>
        <v>48</v>
      </c>
      <c r="E56" s="22">
        <f t="shared" ref="E56:F56" si="55">C56/(C56+C57)</f>
        <v>0.5625</v>
      </c>
      <c r="F56" s="22">
        <f t="shared" si="55"/>
        <v>0.65753424657534243</v>
      </c>
      <c r="I56" s="60">
        <v>28</v>
      </c>
      <c r="J56" s="17" t="s">
        <v>21</v>
      </c>
      <c r="K56" s="22">
        <f t="shared" si="0"/>
        <v>0.5625</v>
      </c>
      <c r="L56" s="22">
        <f t="shared" si="1"/>
        <v>0.65753424657534243</v>
      </c>
      <c r="O56" s="21">
        <v>54</v>
      </c>
      <c r="P56" s="7">
        <f t="shared" ca="1" si="19"/>
        <v>0.5714285714285714</v>
      </c>
      <c r="Q56" s="7">
        <f t="shared" ca="1" si="12"/>
        <v>0.42857142857142855</v>
      </c>
      <c r="R56" s="7">
        <f t="shared" ca="1" si="9"/>
        <v>0.6071428571428571</v>
      </c>
      <c r="S56" s="7">
        <f t="shared" ca="1" si="10"/>
        <v>0.39285714285714285</v>
      </c>
    </row>
    <row r="57" spans="1:19" x14ac:dyDescent="0.15">
      <c r="A57" s="60"/>
      <c r="B57" s="21" t="s">
        <v>22</v>
      </c>
      <c r="C57" s="21">
        <f>[58]PARS_cds_stat!B57</f>
        <v>35</v>
      </c>
      <c r="D57" s="21">
        <f>[58]PARS_cds_stat!C57</f>
        <v>25</v>
      </c>
      <c r="E57" s="22">
        <f t="shared" ref="E57:F57" si="56">C57/(C56+C57)</f>
        <v>0.4375</v>
      </c>
      <c r="F57" s="22">
        <f t="shared" si="56"/>
        <v>0.34246575342465752</v>
      </c>
      <c r="I57" s="60"/>
      <c r="J57" s="17" t="s">
        <v>22</v>
      </c>
      <c r="K57" s="22">
        <f t="shared" si="0"/>
        <v>0.4375</v>
      </c>
      <c r="L57" s="22">
        <f t="shared" si="1"/>
        <v>0.34246575342465752</v>
      </c>
      <c r="O57" s="21">
        <v>55</v>
      </c>
      <c r="P57" s="7">
        <f t="shared" ca="1" si="19"/>
        <v>0.69230769230769229</v>
      </c>
      <c r="Q57" s="7">
        <f t="shared" ca="1" si="12"/>
        <v>0.30769230769230771</v>
      </c>
      <c r="R57" s="7">
        <f t="shared" ca="1" si="9"/>
        <v>0.61538461538461542</v>
      </c>
      <c r="S57" s="7">
        <f t="shared" ca="1" si="10"/>
        <v>0.38461538461538464</v>
      </c>
    </row>
    <row r="58" spans="1:19" x14ac:dyDescent="0.15">
      <c r="A58" s="60">
        <v>29</v>
      </c>
      <c r="B58" s="21" t="s">
        <v>21</v>
      </c>
      <c r="C58" s="21">
        <f>[58]PARS_cds_stat!B58</f>
        <v>43</v>
      </c>
      <c r="D58" s="21">
        <f>[58]PARS_cds_stat!C58</f>
        <v>40</v>
      </c>
      <c r="E58" s="22">
        <f t="shared" ref="E58:F58" si="57">C58/(C58+C59)</f>
        <v>0.5</v>
      </c>
      <c r="F58" s="22">
        <f t="shared" si="57"/>
        <v>0.625</v>
      </c>
      <c r="I58" s="60">
        <v>29</v>
      </c>
      <c r="J58" s="17" t="s">
        <v>21</v>
      </c>
      <c r="K58" s="22">
        <f t="shared" si="0"/>
        <v>0.5</v>
      </c>
      <c r="L58" s="22">
        <f t="shared" si="1"/>
        <v>0.625</v>
      </c>
      <c r="O58" s="21">
        <v>56</v>
      </c>
      <c r="P58" s="7">
        <f t="shared" ca="1" si="19"/>
        <v>0.59259259259259256</v>
      </c>
      <c r="Q58" s="7">
        <f t="shared" ca="1" si="12"/>
        <v>0.40740740740740738</v>
      </c>
      <c r="R58" s="7">
        <f t="shared" ca="1" si="9"/>
        <v>0.62745098039215685</v>
      </c>
      <c r="S58" s="7">
        <f t="shared" ca="1" si="10"/>
        <v>0.37254901960784315</v>
      </c>
    </row>
    <row r="59" spans="1:19" x14ac:dyDescent="0.15">
      <c r="A59" s="60"/>
      <c r="B59" s="21" t="s">
        <v>22</v>
      </c>
      <c r="C59" s="21">
        <f>[58]PARS_cds_stat!B59</f>
        <v>43</v>
      </c>
      <c r="D59" s="21">
        <f>[58]PARS_cds_stat!C59</f>
        <v>24</v>
      </c>
      <c r="E59" s="22">
        <f t="shared" ref="E59:F59" si="58">C59/(C58+C59)</f>
        <v>0.5</v>
      </c>
      <c r="F59" s="22">
        <f t="shared" si="58"/>
        <v>0.375</v>
      </c>
      <c r="I59" s="60"/>
      <c r="J59" s="17" t="s">
        <v>22</v>
      </c>
      <c r="K59" s="22">
        <f t="shared" si="0"/>
        <v>0.5</v>
      </c>
      <c r="L59" s="22">
        <f t="shared" si="1"/>
        <v>0.375</v>
      </c>
      <c r="O59" s="21">
        <v>57</v>
      </c>
      <c r="P59" s="7">
        <f t="shared" ca="1" si="19"/>
        <v>0.66</v>
      </c>
      <c r="Q59" s="7">
        <f t="shared" ca="1" si="12"/>
        <v>0.34</v>
      </c>
      <c r="R59" s="7">
        <f t="shared" ca="1" si="9"/>
        <v>0.56756756756756754</v>
      </c>
      <c r="S59" s="7">
        <f t="shared" ca="1" si="10"/>
        <v>0.43243243243243246</v>
      </c>
    </row>
    <row r="60" spans="1:19" x14ac:dyDescent="0.15">
      <c r="A60" s="60">
        <v>30</v>
      </c>
      <c r="B60" s="21" t="s">
        <v>21</v>
      </c>
      <c r="C60" s="21">
        <f>[58]PARS_cds_stat!B60</f>
        <v>52</v>
      </c>
      <c r="D60" s="21">
        <f>[58]PARS_cds_stat!C60</f>
        <v>45</v>
      </c>
      <c r="E60" s="22">
        <f t="shared" ref="E60:F60" si="59">C60/(C60+C61)</f>
        <v>0.56521739130434778</v>
      </c>
      <c r="F60" s="22">
        <f t="shared" si="59"/>
        <v>0.625</v>
      </c>
      <c r="I60" s="60">
        <v>30</v>
      </c>
      <c r="J60" s="17" t="s">
        <v>21</v>
      </c>
      <c r="K60" s="22">
        <f t="shared" si="0"/>
        <v>0.56521739130434778</v>
      </c>
      <c r="L60" s="22">
        <f t="shared" si="1"/>
        <v>0.625</v>
      </c>
      <c r="O60" s="21">
        <v>58</v>
      </c>
      <c r="P60" s="7">
        <f t="shared" ca="1" si="19"/>
        <v>0.5757575757575758</v>
      </c>
      <c r="Q60" s="7">
        <f t="shared" ca="1" si="12"/>
        <v>0.42424242424242425</v>
      </c>
      <c r="R60" s="7">
        <f t="shared" ca="1" si="9"/>
        <v>0.58974358974358976</v>
      </c>
      <c r="S60" s="7">
        <f t="shared" ca="1" si="10"/>
        <v>0.41025641025641024</v>
      </c>
    </row>
    <row r="61" spans="1:19" x14ac:dyDescent="0.15">
      <c r="A61" s="60"/>
      <c r="B61" s="21" t="s">
        <v>22</v>
      </c>
      <c r="C61" s="21">
        <f>[58]PARS_cds_stat!B61</f>
        <v>40</v>
      </c>
      <c r="D61" s="21">
        <f>[58]PARS_cds_stat!C61</f>
        <v>27</v>
      </c>
      <c r="E61" s="22">
        <f t="shared" ref="E61:F61" si="60">C61/(C60+C61)</f>
        <v>0.43478260869565216</v>
      </c>
      <c r="F61" s="22">
        <f t="shared" si="60"/>
        <v>0.375</v>
      </c>
      <c r="I61" s="60"/>
      <c r="J61" s="17" t="s">
        <v>22</v>
      </c>
      <c r="K61" s="22">
        <f t="shared" si="0"/>
        <v>0.43478260869565216</v>
      </c>
      <c r="L61" s="22">
        <f t="shared" si="1"/>
        <v>0.375</v>
      </c>
      <c r="O61" s="21">
        <v>59</v>
      </c>
      <c r="P61" s="7">
        <f t="shared" ca="1" si="19"/>
        <v>0.61111111111111116</v>
      </c>
      <c r="Q61" s="7">
        <f t="shared" ca="1" si="12"/>
        <v>0.3888888888888889</v>
      </c>
      <c r="R61" s="7">
        <f t="shared" ca="1" si="9"/>
        <v>0.6</v>
      </c>
      <c r="S61" s="7">
        <f t="shared" ca="1" si="10"/>
        <v>0.4</v>
      </c>
    </row>
    <row r="62" spans="1:19" x14ac:dyDescent="0.15">
      <c r="A62" s="60">
        <v>31</v>
      </c>
      <c r="B62" s="21" t="s">
        <v>21</v>
      </c>
      <c r="C62" s="21">
        <f>[58]PARS_cds_stat!B62</f>
        <v>55</v>
      </c>
      <c r="D62" s="21">
        <f>[58]PARS_cds_stat!C62</f>
        <v>50</v>
      </c>
      <c r="E62" s="22">
        <f t="shared" ref="E62:F62" si="61">C62/(C62+C63)</f>
        <v>0.625</v>
      </c>
      <c r="F62" s="22">
        <f t="shared" si="61"/>
        <v>0.64935064935064934</v>
      </c>
      <c r="I62" s="60">
        <v>31</v>
      </c>
      <c r="J62" s="17" t="s">
        <v>21</v>
      </c>
      <c r="K62" s="22">
        <f t="shared" si="0"/>
        <v>0.625</v>
      </c>
      <c r="L62" s="22">
        <f t="shared" si="1"/>
        <v>0.64935064935064934</v>
      </c>
      <c r="O62" s="21">
        <v>60</v>
      </c>
      <c r="P62" s="7">
        <f t="shared" ca="1" si="19"/>
        <v>0.64583333333333337</v>
      </c>
      <c r="Q62" s="7">
        <f t="shared" ca="1" si="12"/>
        <v>0.35416666666666669</v>
      </c>
      <c r="R62" s="7">
        <f t="shared" ca="1" si="9"/>
        <v>0.57499999999999996</v>
      </c>
      <c r="S62" s="7">
        <f t="shared" ca="1" si="10"/>
        <v>0.42499999999999999</v>
      </c>
    </row>
    <row r="63" spans="1:19" x14ac:dyDescent="0.15">
      <c r="A63" s="60"/>
      <c r="B63" s="21" t="s">
        <v>22</v>
      </c>
      <c r="C63" s="21">
        <f>[58]PARS_cds_stat!B63</f>
        <v>33</v>
      </c>
      <c r="D63" s="21">
        <f>[58]PARS_cds_stat!C63</f>
        <v>27</v>
      </c>
      <c r="E63" s="22">
        <f t="shared" ref="E63:F63" si="62">C63/(C62+C63)</f>
        <v>0.375</v>
      </c>
      <c r="F63" s="22">
        <f t="shared" si="62"/>
        <v>0.35064935064935066</v>
      </c>
      <c r="I63" s="60"/>
      <c r="J63" s="17" t="s">
        <v>22</v>
      </c>
      <c r="K63" s="22">
        <f t="shared" si="0"/>
        <v>0.375</v>
      </c>
      <c r="L63" s="22">
        <f t="shared" si="1"/>
        <v>0.35064935064935066</v>
      </c>
      <c r="O63" s="21">
        <v>61</v>
      </c>
      <c r="P63" s="7">
        <f t="shared" ca="1" si="19"/>
        <v>0.48979591836734693</v>
      </c>
      <c r="Q63" s="7">
        <f t="shared" ca="1" si="12"/>
        <v>0.51020408163265307</v>
      </c>
      <c r="R63" s="7">
        <f t="shared" ca="1" si="9"/>
        <v>0.44736842105263158</v>
      </c>
      <c r="S63" s="7">
        <f t="shared" ca="1" si="10"/>
        <v>0.55263157894736847</v>
      </c>
    </row>
    <row r="64" spans="1:19" x14ac:dyDescent="0.15">
      <c r="A64" s="60">
        <v>32</v>
      </c>
      <c r="B64" s="21" t="s">
        <v>21</v>
      </c>
      <c r="C64" s="21">
        <f>[58]PARS_cds_stat!B64</f>
        <v>46</v>
      </c>
      <c r="D64" s="21">
        <f>[58]PARS_cds_stat!C64</f>
        <v>41</v>
      </c>
      <c r="E64" s="22">
        <f t="shared" ref="E64:F64" si="63">C64/(C64+C65)</f>
        <v>0.58974358974358976</v>
      </c>
      <c r="F64" s="22">
        <f t="shared" si="63"/>
        <v>0.67213114754098358</v>
      </c>
      <c r="I64" s="60">
        <v>32</v>
      </c>
      <c r="J64" s="17" t="s">
        <v>21</v>
      </c>
      <c r="K64" s="22">
        <f t="shared" si="0"/>
        <v>0.58974358974358976</v>
      </c>
      <c r="L64" s="22">
        <f t="shared" si="1"/>
        <v>0.67213114754098358</v>
      </c>
      <c r="O64" s="21">
        <v>62</v>
      </c>
      <c r="P64" s="7">
        <f t="shared" ca="1" si="19"/>
        <v>0.69090909090909092</v>
      </c>
      <c r="Q64" s="7">
        <f t="shared" ca="1" si="12"/>
        <v>0.30909090909090908</v>
      </c>
      <c r="R64" s="7">
        <f t="shared" ca="1" si="9"/>
        <v>0.51219512195121952</v>
      </c>
      <c r="S64" s="7">
        <f t="shared" ca="1" si="10"/>
        <v>0.48780487804878048</v>
      </c>
    </row>
    <row r="65" spans="1:19" x14ac:dyDescent="0.15">
      <c r="A65" s="60"/>
      <c r="B65" s="21" t="s">
        <v>22</v>
      </c>
      <c r="C65" s="21">
        <f>[58]PARS_cds_stat!B65</f>
        <v>32</v>
      </c>
      <c r="D65" s="21">
        <f>[58]PARS_cds_stat!C65</f>
        <v>20</v>
      </c>
      <c r="E65" s="22">
        <f t="shared" ref="E65:F65" si="64">C65/(C64+C65)</f>
        <v>0.41025641025641024</v>
      </c>
      <c r="F65" s="22">
        <f t="shared" si="64"/>
        <v>0.32786885245901637</v>
      </c>
      <c r="I65" s="60"/>
      <c r="J65" s="17" t="s">
        <v>22</v>
      </c>
      <c r="K65" s="22">
        <f t="shared" si="0"/>
        <v>0.41025641025641024</v>
      </c>
      <c r="L65" s="22">
        <f t="shared" si="1"/>
        <v>0.32786885245901637</v>
      </c>
      <c r="O65" s="21">
        <v>63</v>
      </c>
      <c r="P65" s="7">
        <f t="shared" ca="1" si="19"/>
        <v>0.55000000000000004</v>
      </c>
      <c r="Q65" s="7">
        <f t="shared" ca="1" si="12"/>
        <v>0.45</v>
      </c>
      <c r="R65" s="7">
        <f t="shared" ca="1" si="9"/>
        <v>0.63043478260869568</v>
      </c>
      <c r="S65" s="7">
        <f t="shared" ca="1" si="10"/>
        <v>0.36956521739130432</v>
      </c>
    </row>
    <row r="66" spans="1:19" x14ac:dyDescent="0.15">
      <c r="A66" s="60">
        <v>33</v>
      </c>
      <c r="B66" s="21" t="s">
        <v>21</v>
      </c>
      <c r="C66" s="21">
        <f>[58]PARS_cds_stat!B66</f>
        <v>39</v>
      </c>
      <c r="D66" s="21">
        <f>[58]PARS_cds_stat!C66</f>
        <v>34</v>
      </c>
      <c r="E66" s="22">
        <f t="shared" ref="E66:F66" si="65">C66/(C66+C67)</f>
        <v>0.52702702702702697</v>
      </c>
      <c r="F66" s="22">
        <f t="shared" si="65"/>
        <v>0.64150943396226412</v>
      </c>
      <c r="I66" s="60">
        <v>33</v>
      </c>
      <c r="J66" s="17" t="s">
        <v>21</v>
      </c>
      <c r="K66" s="22">
        <f t="shared" ref="K66:K129" si="66">E66</f>
        <v>0.52702702702702697</v>
      </c>
      <c r="L66" s="22">
        <f t="shared" ref="L66:L129" si="67">F66</f>
        <v>0.64150943396226412</v>
      </c>
      <c r="O66" s="21">
        <v>64</v>
      </c>
      <c r="P66" s="7">
        <f t="shared" ca="1" si="19"/>
        <v>0.73469387755102045</v>
      </c>
      <c r="Q66" s="7">
        <f t="shared" ca="1" si="12"/>
        <v>0.26530612244897961</v>
      </c>
      <c r="R66" s="7">
        <f t="shared" ca="1" si="9"/>
        <v>0.59183673469387754</v>
      </c>
      <c r="S66" s="7">
        <f t="shared" ca="1" si="10"/>
        <v>0.40816326530612246</v>
      </c>
    </row>
    <row r="67" spans="1:19" x14ac:dyDescent="0.15">
      <c r="A67" s="60"/>
      <c r="B67" s="21" t="s">
        <v>22</v>
      </c>
      <c r="C67" s="21">
        <f>[58]PARS_cds_stat!B67</f>
        <v>35</v>
      </c>
      <c r="D67" s="21">
        <f>[58]PARS_cds_stat!C67</f>
        <v>19</v>
      </c>
      <c r="E67" s="22">
        <f t="shared" ref="E67:F67" si="68">C67/(C66+C67)</f>
        <v>0.47297297297297297</v>
      </c>
      <c r="F67" s="22">
        <f t="shared" si="68"/>
        <v>0.35849056603773582</v>
      </c>
      <c r="I67" s="60"/>
      <c r="J67" s="17" t="s">
        <v>22</v>
      </c>
      <c r="K67" s="22">
        <f t="shared" si="66"/>
        <v>0.47297297297297297</v>
      </c>
      <c r="L67" s="22">
        <f t="shared" si="67"/>
        <v>0.35849056603773582</v>
      </c>
      <c r="O67" s="21">
        <v>65</v>
      </c>
      <c r="P67" s="7">
        <f t="shared" ca="1" si="19"/>
        <v>0.7</v>
      </c>
      <c r="Q67" s="7">
        <f t="shared" ca="1" si="12"/>
        <v>0.3</v>
      </c>
      <c r="R67" s="7">
        <f t="shared" ca="1" si="9"/>
        <v>0.53191489361702127</v>
      </c>
      <c r="S67" s="7">
        <f t="shared" ca="1" si="10"/>
        <v>0.46808510638297873</v>
      </c>
    </row>
    <row r="68" spans="1:19" x14ac:dyDescent="0.15">
      <c r="A68" s="60">
        <v>34</v>
      </c>
      <c r="B68" s="21" t="s">
        <v>21</v>
      </c>
      <c r="C68" s="21">
        <f>[58]PARS_cds_stat!B68</f>
        <v>35</v>
      </c>
      <c r="D68" s="21">
        <f>[58]PARS_cds_stat!C68</f>
        <v>35</v>
      </c>
      <c r="E68" s="22">
        <f t="shared" ref="E68:F68" si="69">C68/(C68+C69)</f>
        <v>0.55555555555555558</v>
      </c>
      <c r="F68" s="22">
        <f t="shared" si="69"/>
        <v>0.660377358490566</v>
      </c>
      <c r="I68" s="60">
        <v>34</v>
      </c>
      <c r="J68" s="17" t="s">
        <v>21</v>
      </c>
      <c r="K68" s="22">
        <f t="shared" si="66"/>
        <v>0.55555555555555558</v>
      </c>
      <c r="L68" s="22">
        <f t="shared" si="67"/>
        <v>0.660377358490566</v>
      </c>
      <c r="O68" s="21">
        <v>66</v>
      </c>
      <c r="P68" s="7">
        <f t="shared" ca="1" si="19"/>
        <v>0.58139534883720934</v>
      </c>
      <c r="Q68" s="7">
        <f t="shared" ca="1" si="12"/>
        <v>0.41860465116279072</v>
      </c>
      <c r="R68" s="7">
        <f t="shared" ca="1" si="9"/>
        <v>0.42105263157894735</v>
      </c>
      <c r="S68" s="7">
        <f t="shared" ca="1" si="10"/>
        <v>0.57894736842105265</v>
      </c>
    </row>
    <row r="69" spans="1:19" x14ac:dyDescent="0.15">
      <c r="A69" s="60"/>
      <c r="B69" s="21" t="s">
        <v>22</v>
      </c>
      <c r="C69" s="21">
        <f>[58]PARS_cds_stat!B69</f>
        <v>28</v>
      </c>
      <c r="D69" s="21">
        <f>[58]PARS_cds_stat!C69</f>
        <v>18</v>
      </c>
      <c r="E69" s="22">
        <f t="shared" ref="E69:F69" si="70">C69/(C68+C69)</f>
        <v>0.44444444444444442</v>
      </c>
      <c r="F69" s="22">
        <f t="shared" si="70"/>
        <v>0.33962264150943394</v>
      </c>
      <c r="I69" s="60"/>
      <c r="J69" s="17" t="s">
        <v>22</v>
      </c>
      <c r="K69" s="22">
        <f t="shared" si="66"/>
        <v>0.44444444444444442</v>
      </c>
      <c r="L69" s="22">
        <f t="shared" si="67"/>
        <v>0.33962264150943394</v>
      </c>
      <c r="O69" s="21">
        <v>67</v>
      </c>
      <c r="P69" s="7">
        <f t="shared" ca="1" si="19"/>
        <v>0.54716981132075471</v>
      </c>
      <c r="Q69" s="7">
        <f t="shared" ca="1" si="12"/>
        <v>0.45283018867924529</v>
      </c>
      <c r="R69" s="7">
        <f t="shared" ca="1" si="9"/>
        <v>0.52380952380952384</v>
      </c>
      <c r="S69" s="7">
        <f t="shared" ca="1" si="10"/>
        <v>0.47619047619047616</v>
      </c>
    </row>
    <row r="70" spans="1:19" x14ac:dyDescent="0.15">
      <c r="A70" s="60">
        <v>35</v>
      </c>
      <c r="B70" s="21" t="s">
        <v>21</v>
      </c>
      <c r="C70" s="21">
        <f>[58]PARS_cds_stat!B70</f>
        <v>27</v>
      </c>
      <c r="D70" s="21">
        <f>[58]PARS_cds_stat!C70</f>
        <v>34</v>
      </c>
      <c r="E70" s="22">
        <f t="shared" ref="E70:F70" si="71">C70/(C70+C71)</f>
        <v>0.45</v>
      </c>
      <c r="F70" s="22">
        <f t="shared" si="71"/>
        <v>0.61818181818181817</v>
      </c>
      <c r="I70" s="60">
        <v>35</v>
      </c>
      <c r="J70" s="17" t="s">
        <v>21</v>
      </c>
      <c r="K70" s="22">
        <f t="shared" si="66"/>
        <v>0.45</v>
      </c>
      <c r="L70" s="22">
        <f t="shared" si="67"/>
        <v>0.61818181818181817</v>
      </c>
      <c r="O70" s="21">
        <v>68</v>
      </c>
      <c r="P70" s="7">
        <f t="shared" ca="1" si="19"/>
        <v>0.54545454545454541</v>
      </c>
      <c r="Q70" s="7">
        <f t="shared" ca="1" si="12"/>
        <v>0.45454545454545453</v>
      </c>
      <c r="R70" s="7">
        <f t="shared" ca="1" si="9"/>
        <v>0.55882352941176472</v>
      </c>
      <c r="S70" s="7">
        <f t="shared" ca="1" si="10"/>
        <v>0.44117647058823528</v>
      </c>
    </row>
    <row r="71" spans="1:19" x14ac:dyDescent="0.15">
      <c r="A71" s="60"/>
      <c r="B71" s="21" t="s">
        <v>22</v>
      </c>
      <c r="C71" s="21">
        <f>[58]PARS_cds_stat!B71</f>
        <v>33</v>
      </c>
      <c r="D71" s="21">
        <f>[58]PARS_cds_stat!C71</f>
        <v>21</v>
      </c>
      <c r="E71" s="22">
        <f t="shared" ref="E71:F71" si="72">C71/(C70+C71)</f>
        <v>0.55000000000000004</v>
      </c>
      <c r="F71" s="22">
        <f t="shared" si="72"/>
        <v>0.38181818181818183</v>
      </c>
      <c r="I71" s="60"/>
      <c r="J71" s="17" t="s">
        <v>22</v>
      </c>
      <c r="K71" s="22">
        <f t="shared" si="66"/>
        <v>0.55000000000000004</v>
      </c>
      <c r="L71" s="22">
        <f t="shared" si="67"/>
        <v>0.38181818181818183</v>
      </c>
      <c r="O71" s="21">
        <v>69</v>
      </c>
      <c r="P71" s="7">
        <f t="shared" ca="1" si="19"/>
        <v>0.68</v>
      </c>
      <c r="Q71" s="7">
        <f t="shared" ca="1" si="12"/>
        <v>0.32</v>
      </c>
      <c r="R71" s="7">
        <f t="shared" ca="1" si="9"/>
        <v>0.58620689655172409</v>
      </c>
      <c r="S71" s="7">
        <f t="shared" ca="1" si="10"/>
        <v>0.41379310344827586</v>
      </c>
    </row>
    <row r="72" spans="1:19" x14ac:dyDescent="0.15">
      <c r="A72" s="60">
        <v>36</v>
      </c>
      <c r="B72" s="21" t="s">
        <v>21</v>
      </c>
      <c r="C72" s="21">
        <f>[58]PARS_cds_stat!B72</f>
        <v>30</v>
      </c>
      <c r="D72" s="21">
        <f>[58]PARS_cds_stat!C72</f>
        <v>51</v>
      </c>
      <c r="E72" s="22">
        <f t="shared" ref="E72:F72" si="73">C72/(C72+C73)</f>
        <v>0.5</v>
      </c>
      <c r="F72" s="22">
        <f t="shared" si="73"/>
        <v>0.76119402985074625</v>
      </c>
      <c r="I72" s="60">
        <v>36</v>
      </c>
      <c r="J72" s="17" t="s">
        <v>21</v>
      </c>
      <c r="K72" s="22">
        <f t="shared" si="66"/>
        <v>0.5</v>
      </c>
      <c r="L72" s="22">
        <f t="shared" si="67"/>
        <v>0.76119402985074625</v>
      </c>
      <c r="O72" s="21">
        <v>70</v>
      </c>
      <c r="P72" s="7">
        <f t="shared" ca="1" si="19"/>
        <v>0.71111111111111114</v>
      </c>
      <c r="Q72" s="7">
        <f t="shared" ca="1" si="12"/>
        <v>0.28888888888888886</v>
      </c>
      <c r="R72" s="7">
        <f t="shared" ca="1" si="9"/>
        <v>0.5</v>
      </c>
      <c r="S72" s="7">
        <f t="shared" ca="1" si="10"/>
        <v>0.5</v>
      </c>
    </row>
    <row r="73" spans="1:19" x14ac:dyDescent="0.15">
      <c r="A73" s="60"/>
      <c r="B73" s="21" t="s">
        <v>22</v>
      </c>
      <c r="C73" s="21">
        <f>[58]PARS_cds_stat!B73</f>
        <v>30</v>
      </c>
      <c r="D73" s="21">
        <f>[58]PARS_cds_stat!C73</f>
        <v>16</v>
      </c>
      <c r="E73" s="22">
        <f t="shared" ref="E73:F73" si="74">C73/(C72+C73)</f>
        <v>0.5</v>
      </c>
      <c r="F73" s="22">
        <f t="shared" si="74"/>
        <v>0.23880597014925373</v>
      </c>
      <c r="I73" s="60"/>
      <c r="J73" s="17" t="s">
        <v>22</v>
      </c>
      <c r="K73" s="22">
        <f t="shared" si="66"/>
        <v>0.5</v>
      </c>
      <c r="L73" s="22">
        <f t="shared" si="67"/>
        <v>0.23880597014925373</v>
      </c>
      <c r="O73" s="21">
        <v>71</v>
      </c>
      <c r="P73" s="7">
        <f t="shared" ca="1" si="19"/>
        <v>0.65116279069767447</v>
      </c>
      <c r="Q73" s="7">
        <f t="shared" ca="1" si="12"/>
        <v>0.34883720930232559</v>
      </c>
      <c r="R73" s="7">
        <f t="shared" ca="1" si="9"/>
        <v>0.4838709677419355</v>
      </c>
      <c r="S73" s="7">
        <f t="shared" ca="1" si="10"/>
        <v>0.5161290322580645</v>
      </c>
    </row>
    <row r="74" spans="1:19" x14ac:dyDescent="0.15">
      <c r="A74" s="60">
        <v>37</v>
      </c>
      <c r="B74" s="21" t="s">
        <v>21</v>
      </c>
      <c r="C74" s="21">
        <f>[58]PARS_cds_stat!B74</f>
        <v>38</v>
      </c>
      <c r="D74" s="21">
        <f>[58]PARS_cds_stat!C74</f>
        <v>35</v>
      </c>
      <c r="E74" s="22">
        <f t="shared" ref="E74:F74" si="75">C74/(C74+C75)</f>
        <v>0.5757575757575758</v>
      </c>
      <c r="F74" s="22">
        <f t="shared" si="75"/>
        <v>0.63636363636363635</v>
      </c>
      <c r="I74" s="60">
        <v>37</v>
      </c>
      <c r="J74" s="17" t="s">
        <v>21</v>
      </c>
      <c r="K74" s="22">
        <f t="shared" si="66"/>
        <v>0.5757575757575758</v>
      </c>
      <c r="L74" s="22">
        <f t="shared" si="67"/>
        <v>0.63636363636363635</v>
      </c>
      <c r="O74" s="21">
        <v>72</v>
      </c>
      <c r="P74" s="7">
        <f t="shared" ca="1" si="19"/>
        <v>0.71153846153846156</v>
      </c>
      <c r="Q74" s="7">
        <f t="shared" ca="1" si="12"/>
        <v>0.28846153846153844</v>
      </c>
      <c r="R74" s="7">
        <f t="shared" ca="1" si="9"/>
        <v>0.51351351351351349</v>
      </c>
      <c r="S74" s="7">
        <f t="shared" ca="1" si="10"/>
        <v>0.48648648648648651</v>
      </c>
    </row>
    <row r="75" spans="1:19" x14ac:dyDescent="0.15">
      <c r="A75" s="60"/>
      <c r="B75" s="21" t="s">
        <v>22</v>
      </c>
      <c r="C75" s="21">
        <f>[58]PARS_cds_stat!B75</f>
        <v>28</v>
      </c>
      <c r="D75" s="21">
        <f>[58]PARS_cds_stat!C75</f>
        <v>20</v>
      </c>
      <c r="E75" s="22">
        <f t="shared" ref="E75:F75" si="76">C75/(C74+C75)</f>
        <v>0.42424242424242425</v>
      </c>
      <c r="F75" s="22">
        <f t="shared" si="76"/>
        <v>0.36363636363636365</v>
      </c>
      <c r="I75" s="60"/>
      <c r="J75" s="17" t="s">
        <v>22</v>
      </c>
      <c r="K75" s="22">
        <f t="shared" si="66"/>
        <v>0.42424242424242425</v>
      </c>
      <c r="L75" s="22">
        <f t="shared" si="67"/>
        <v>0.36363636363636365</v>
      </c>
      <c r="O75" s="21">
        <v>73</v>
      </c>
      <c r="P75" s="7">
        <f t="shared" ca="1" si="19"/>
        <v>0.52830188679245282</v>
      </c>
      <c r="Q75" s="7">
        <f t="shared" ca="1" si="12"/>
        <v>0.47169811320754718</v>
      </c>
      <c r="R75" s="7">
        <f t="shared" ca="1" si="9"/>
        <v>0.5</v>
      </c>
      <c r="S75" s="7">
        <f t="shared" ca="1" si="10"/>
        <v>0.5</v>
      </c>
    </row>
    <row r="76" spans="1:19" x14ac:dyDescent="0.15">
      <c r="A76" s="60">
        <v>38</v>
      </c>
      <c r="B76" s="21" t="s">
        <v>21</v>
      </c>
      <c r="C76" s="21">
        <f>[58]PARS_cds_stat!B76</f>
        <v>30</v>
      </c>
      <c r="D76" s="21">
        <f>[58]PARS_cds_stat!C76</f>
        <v>28</v>
      </c>
      <c r="E76" s="22">
        <f t="shared" ref="E76:F76" si="77">C76/(C76+C77)</f>
        <v>0.45454545454545453</v>
      </c>
      <c r="F76" s="22">
        <f t="shared" si="77"/>
        <v>0.5714285714285714</v>
      </c>
      <c r="I76" s="60">
        <v>38</v>
      </c>
      <c r="J76" s="17" t="s">
        <v>21</v>
      </c>
      <c r="K76" s="22">
        <f t="shared" si="66"/>
        <v>0.45454545454545453</v>
      </c>
      <c r="L76" s="22">
        <f t="shared" si="67"/>
        <v>0.5714285714285714</v>
      </c>
      <c r="O76" s="21">
        <v>74</v>
      </c>
      <c r="P76" s="7">
        <f t="shared" ca="1" si="19"/>
        <v>0.59090909090909094</v>
      </c>
      <c r="Q76" s="7">
        <f t="shared" ca="1" si="12"/>
        <v>0.40909090909090912</v>
      </c>
      <c r="R76" s="7">
        <f t="shared" ca="1" si="9"/>
        <v>0.72499999999999998</v>
      </c>
      <c r="S76" s="7">
        <f t="shared" ca="1" si="10"/>
        <v>0.27500000000000002</v>
      </c>
    </row>
    <row r="77" spans="1:19" x14ac:dyDescent="0.15">
      <c r="A77" s="60"/>
      <c r="B77" s="21" t="s">
        <v>22</v>
      </c>
      <c r="C77" s="21">
        <f>[58]PARS_cds_stat!B77</f>
        <v>36</v>
      </c>
      <c r="D77" s="21">
        <f>[58]PARS_cds_stat!C77</f>
        <v>21</v>
      </c>
      <c r="E77" s="22">
        <f t="shared" ref="E77:F77" si="78">C77/(C76+C77)</f>
        <v>0.54545454545454541</v>
      </c>
      <c r="F77" s="22">
        <f t="shared" si="78"/>
        <v>0.42857142857142855</v>
      </c>
      <c r="I77" s="60"/>
      <c r="J77" s="17" t="s">
        <v>22</v>
      </c>
      <c r="K77" s="22">
        <f t="shared" si="66"/>
        <v>0.54545454545454541</v>
      </c>
      <c r="L77" s="22">
        <f t="shared" si="67"/>
        <v>0.42857142857142855</v>
      </c>
      <c r="O77" s="21">
        <v>75</v>
      </c>
      <c r="P77" s="7">
        <f t="shared" ca="1" si="19"/>
        <v>0.5</v>
      </c>
      <c r="Q77" s="7">
        <f t="shared" ca="1" si="12"/>
        <v>0.5</v>
      </c>
      <c r="R77" s="7">
        <f t="shared" ref="R77:R129" ca="1" si="79">INDIRECT("l"&amp;ROW(L75)*2)</f>
        <v>0.58333333333333337</v>
      </c>
      <c r="S77" s="7">
        <f t="shared" ref="S77:S129" ca="1" si="80">INDIRECT("l"&amp;ROW(L75)*2+1)</f>
        <v>0.41666666666666669</v>
      </c>
    </row>
    <row r="78" spans="1:19" x14ac:dyDescent="0.15">
      <c r="A78" s="60">
        <v>39</v>
      </c>
      <c r="B78" s="21" t="s">
        <v>21</v>
      </c>
      <c r="C78" s="21">
        <f>[58]PARS_cds_stat!B78</f>
        <v>46</v>
      </c>
      <c r="D78" s="21">
        <f>[58]PARS_cds_stat!C78</f>
        <v>39</v>
      </c>
      <c r="E78" s="22">
        <f t="shared" ref="E78:F78" si="81">C78/(C78+C79)</f>
        <v>0.65714285714285714</v>
      </c>
      <c r="F78" s="22">
        <f t="shared" si="81"/>
        <v>0.609375</v>
      </c>
      <c r="I78" s="60">
        <v>39</v>
      </c>
      <c r="J78" s="17" t="s">
        <v>21</v>
      </c>
      <c r="K78" s="22">
        <f t="shared" si="66"/>
        <v>0.65714285714285714</v>
      </c>
      <c r="L78" s="22">
        <f t="shared" si="67"/>
        <v>0.609375</v>
      </c>
      <c r="O78" s="21">
        <v>76</v>
      </c>
      <c r="P78" s="7">
        <f t="shared" ca="1" si="19"/>
        <v>0.56603773584905659</v>
      </c>
      <c r="Q78" s="7">
        <f t="shared" ref="Q78:Q129" ca="1" si="82">INDIRECT("K"&amp;ROW(J76)*2+1)</f>
        <v>0.43396226415094341</v>
      </c>
      <c r="R78" s="7">
        <f t="shared" ca="1" si="79"/>
        <v>0.46875</v>
      </c>
      <c r="S78" s="7">
        <f t="shared" ca="1" si="80"/>
        <v>0.53125</v>
      </c>
    </row>
    <row r="79" spans="1:19" x14ac:dyDescent="0.15">
      <c r="A79" s="60"/>
      <c r="B79" s="21" t="s">
        <v>22</v>
      </c>
      <c r="C79" s="21">
        <f>[58]PARS_cds_stat!B79</f>
        <v>24</v>
      </c>
      <c r="D79" s="21">
        <f>[58]PARS_cds_stat!C79</f>
        <v>25</v>
      </c>
      <c r="E79" s="22">
        <f t="shared" ref="E79:F79" si="83">C79/(C78+C79)</f>
        <v>0.34285714285714286</v>
      </c>
      <c r="F79" s="22">
        <f t="shared" si="83"/>
        <v>0.390625</v>
      </c>
      <c r="I79" s="60"/>
      <c r="J79" s="17" t="s">
        <v>22</v>
      </c>
      <c r="K79" s="22">
        <f t="shared" si="66"/>
        <v>0.34285714285714286</v>
      </c>
      <c r="L79" s="22">
        <f t="shared" si="67"/>
        <v>0.390625</v>
      </c>
      <c r="O79" s="21">
        <v>77</v>
      </c>
      <c r="P79" s="7">
        <f t="shared" ca="1" si="19"/>
        <v>0.54761904761904767</v>
      </c>
      <c r="Q79" s="7">
        <f t="shared" ca="1" si="82"/>
        <v>0.45238095238095238</v>
      </c>
      <c r="R79" s="7">
        <f t="shared" ca="1" si="79"/>
        <v>0.55319148936170215</v>
      </c>
      <c r="S79" s="7">
        <f t="shared" ca="1" si="80"/>
        <v>0.44680851063829785</v>
      </c>
    </row>
    <row r="80" spans="1:19" x14ac:dyDescent="0.15">
      <c r="A80" s="60">
        <v>40</v>
      </c>
      <c r="B80" s="21" t="s">
        <v>21</v>
      </c>
      <c r="C80" s="21">
        <f>[58]PARS_cds_stat!B80</f>
        <v>38</v>
      </c>
      <c r="D80" s="21">
        <f>[58]PARS_cds_stat!C80</f>
        <v>33</v>
      </c>
      <c r="E80" s="22">
        <f t="shared" ref="E80:F80" si="84">C80/(C80+C81)</f>
        <v>0.55072463768115942</v>
      </c>
      <c r="F80" s="22">
        <f t="shared" si="84"/>
        <v>0.62264150943396224</v>
      </c>
      <c r="I80" s="60">
        <v>40</v>
      </c>
      <c r="J80" s="17" t="s">
        <v>21</v>
      </c>
      <c r="K80" s="22">
        <f t="shared" si="66"/>
        <v>0.55072463768115942</v>
      </c>
      <c r="L80" s="22">
        <f t="shared" si="67"/>
        <v>0.62264150943396224</v>
      </c>
      <c r="O80" s="21">
        <v>78</v>
      </c>
      <c r="P80" s="7">
        <f t="shared" ca="1" si="19"/>
        <v>0.72727272727272729</v>
      </c>
      <c r="Q80" s="7">
        <f t="shared" ca="1" si="82"/>
        <v>0.27272727272727271</v>
      </c>
      <c r="R80" s="7">
        <f t="shared" ca="1" si="79"/>
        <v>0.65</v>
      </c>
      <c r="S80" s="7">
        <f t="shared" ca="1" si="80"/>
        <v>0.35</v>
      </c>
    </row>
    <row r="81" spans="1:19" x14ac:dyDescent="0.15">
      <c r="A81" s="60"/>
      <c r="B81" s="21" t="s">
        <v>22</v>
      </c>
      <c r="C81" s="21">
        <f>[58]PARS_cds_stat!B81</f>
        <v>31</v>
      </c>
      <c r="D81" s="21">
        <f>[58]PARS_cds_stat!C81</f>
        <v>20</v>
      </c>
      <c r="E81" s="22">
        <f t="shared" ref="E81:F81" si="85">C81/(C80+C81)</f>
        <v>0.44927536231884058</v>
      </c>
      <c r="F81" s="22">
        <f t="shared" si="85"/>
        <v>0.37735849056603776</v>
      </c>
      <c r="I81" s="60"/>
      <c r="J81" s="17" t="s">
        <v>22</v>
      </c>
      <c r="K81" s="22">
        <f t="shared" si="66"/>
        <v>0.44927536231884058</v>
      </c>
      <c r="L81" s="22">
        <f t="shared" si="67"/>
        <v>0.37735849056603776</v>
      </c>
      <c r="O81" s="21">
        <v>79</v>
      </c>
      <c r="P81" s="7">
        <f t="shared" ca="1" si="19"/>
        <v>0.76923076923076927</v>
      </c>
      <c r="Q81" s="7">
        <f t="shared" ca="1" si="82"/>
        <v>0.23076923076923078</v>
      </c>
      <c r="R81" s="7">
        <f t="shared" ca="1" si="79"/>
        <v>0.70370370370370372</v>
      </c>
      <c r="S81" s="7">
        <f t="shared" ca="1" si="80"/>
        <v>0.29629629629629628</v>
      </c>
    </row>
    <row r="82" spans="1:19" x14ac:dyDescent="0.15">
      <c r="A82" s="60">
        <v>41</v>
      </c>
      <c r="B82" s="21" t="s">
        <v>21</v>
      </c>
      <c r="C82" s="21">
        <f>[58]PARS_cds_stat!B82</f>
        <v>43</v>
      </c>
      <c r="D82" s="21">
        <f>[58]PARS_cds_stat!C82</f>
        <v>30</v>
      </c>
      <c r="E82" s="22">
        <f t="shared" ref="E82:F82" si="86">C82/(C82+C83)</f>
        <v>0.64179104477611937</v>
      </c>
      <c r="F82" s="22">
        <f t="shared" si="86"/>
        <v>0.61224489795918369</v>
      </c>
      <c r="I82" s="60">
        <v>41</v>
      </c>
      <c r="J82" s="17" t="s">
        <v>21</v>
      </c>
      <c r="K82" s="22">
        <f t="shared" si="66"/>
        <v>0.64179104477611937</v>
      </c>
      <c r="L82" s="22">
        <f t="shared" si="67"/>
        <v>0.61224489795918369</v>
      </c>
      <c r="O82" s="21">
        <v>80</v>
      </c>
      <c r="P82" s="7">
        <f t="shared" ca="1" si="19"/>
        <v>0.63043478260869568</v>
      </c>
      <c r="Q82" s="7">
        <f t="shared" ca="1" si="82"/>
        <v>0.36956521739130432</v>
      </c>
      <c r="R82" s="7">
        <f t="shared" ca="1" si="79"/>
        <v>0.56666666666666665</v>
      </c>
      <c r="S82" s="7">
        <f t="shared" ca="1" si="80"/>
        <v>0.43333333333333335</v>
      </c>
    </row>
    <row r="83" spans="1:19" x14ac:dyDescent="0.15">
      <c r="A83" s="60"/>
      <c r="B83" s="21" t="s">
        <v>22</v>
      </c>
      <c r="C83" s="21">
        <f>[58]PARS_cds_stat!B83</f>
        <v>24</v>
      </c>
      <c r="D83" s="21">
        <f>[58]PARS_cds_stat!C83</f>
        <v>19</v>
      </c>
      <c r="E83" s="22">
        <f t="shared" ref="E83:F83" si="87">C83/(C82+C83)</f>
        <v>0.35820895522388058</v>
      </c>
      <c r="F83" s="22">
        <f t="shared" si="87"/>
        <v>0.38775510204081631</v>
      </c>
      <c r="I83" s="60"/>
      <c r="J83" s="17" t="s">
        <v>22</v>
      </c>
      <c r="K83" s="22">
        <f t="shared" si="66"/>
        <v>0.35820895522388058</v>
      </c>
      <c r="L83" s="22">
        <f t="shared" si="67"/>
        <v>0.38775510204081631</v>
      </c>
      <c r="O83" s="21">
        <v>81</v>
      </c>
      <c r="P83" s="7">
        <f t="shared" ca="1" si="19"/>
        <v>0.67307692307692313</v>
      </c>
      <c r="Q83" s="7">
        <f t="shared" ca="1" si="82"/>
        <v>0.32692307692307693</v>
      </c>
      <c r="R83" s="7">
        <f t="shared" ca="1" si="79"/>
        <v>0.58333333333333337</v>
      </c>
      <c r="S83" s="7">
        <f t="shared" ca="1" si="80"/>
        <v>0.41666666666666669</v>
      </c>
    </row>
    <row r="84" spans="1:19" x14ac:dyDescent="0.15">
      <c r="A84" s="60">
        <v>42</v>
      </c>
      <c r="B84" s="21" t="s">
        <v>21</v>
      </c>
      <c r="C84" s="21">
        <f>[58]PARS_cds_stat!B84</f>
        <v>29</v>
      </c>
      <c r="D84" s="21">
        <f>[58]PARS_cds_stat!C84</f>
        <v>31</v>
      </c>
      <c r="E84" s="22">
        <f t="shared" ref="E84:F84" si="88">C84/(C84+C85)</f>
        <v>0.63043478260869568</v>
      </c>
      <c r="F84" s="22">
        <f t="shared" si="88"/>
        <v>0.59615384615384615</v>
      </c>
      <c r="I84" s="60">
        <v>42</v>
      </c>
      <c r="J84" s="17" t="s">
        <v>21</v>
      </c>
      <c r="K84" s="22">
        <f t="shared" si="66"/>
        <v>0.63043478260869568</v>
      </c>
      <c r="L84" s="22">
        <f t="shared" si="67"/>
        <v>0.59615384615384615</v>
      </c>
      <c r="O84" s="21">
        <v>82</v>
      </c>
      <c r="P84" s="7">
        <f t="shared" ref="P84:P129" ca="1" si="89">INDIRECT("K"&amp;ROW(K82)*2)</f>
        <v>0.65909090909090906</v>
      </c>
      <c r="Q84" s="7">
        <f t="shared" ca="1" si="82"/>
        <v>0.34090909090909088</v>
      </c>
      <c r="R84" s="7">
        <f t="shared" ca="1" si="79"/>
        <v>0.5714285714285714</v>
      </c>
      <c r="S84" s="7">
        <f t="shared" ca="1" si="80"/>
        <v>0.42857142857142855</v>
      </c>
    </row>
    <row r="85" spans="1:19" x14ac:dyDescent="0.15">
      <c r="A85" s="60"/>
      <c r="B85" s="21" t="s">
        <v>22</v>
      </c>
      <c r="C85" s="21">
        <f>[58]PARS_cds_stat!B85</f>
        <v>17</v>
      </c>
      <c r="D85" s="21">
        <f>[58]PARS_cds_stat!C85</f>
        <v>21</v>
      </c>
      <c r="E85" s="22">
        <f t="shared" ref="E85:F85" si="90">C85/(C84+C85)</f>
        <v>0.36956521739130432</v>
      </c>
      <c r="F85" s="22">
        <f t="shared" si="90"/>
        <v>0.40384615384615385</v>
      </c>
      <c r="I85" s="60"/>
      <c r="J85" s="17" t="s">
        <v>22</v>
      </c>
      <c r="K85" s="22">
        <f t="shared" si="66"/>
        <v>0.36956521739130432</v>
      </c>
      <c r="L85" s="22">
        <f t="shared" si="67"/>
        <v>0.40384615384615385</v>
      </c>
      <c r="O85" s="21">
        <v>83</v>
      </c>
      <c r="P85" s="7">
        <f t="shared" ca="1" si="89"/>
        <v>0.64102564102564108</v>
      </c>
      <c r="Q85" s="7">
        <f t="shared" ca="1" si="82"/>
        <v>0.35897435897435898</v>
      </c>
      <c r="R85" s="7">
        <f t="shared" ca="1" si="79"/>
        <v>0.57692307692307687</v>
      </c>
      <c r="S85" s="7">
        <f t="shared" ca="1" si="80"/>
        <v>0.42307692307692307</v>
      </c>
    </row>
    <row r="86" spans="1:19" x14ac:dyDescent="0.15">
      <c r="A86" s="60">
        <v>43</v>
      </c>
      <c r="B86" s="21" t="s">
        <v>21</v>
      </c>
      <c r="C86" s="21">
        <f>[58]PARS_cds_stat!B86</f>
        <v>31</v>
      </c>
      <c r="D86" s="21">
        <f>[58]PARS_cds_stat!C86</f>
        <v>35</v>
      </c>
      <c r="E86" s="22">
        <f t="shared" ref="E86:F86" si="91">C86/(C86+C87)</f>
        <v>0.53448275862068961</v>
      </c>
      <c r="F86" s="22">
        <f t="shared" si="91"/>
        <v>0.7</v>
      </c>
      <c r="I86" s="60">
        <v>43</v>
      </c>
      <c r="J86" s="17" t="s">
        <v>21</v>
      </c>
      <c r="K86" s="22">
        <f t="shared" si="66"/>
        <v>0.53448275862068961</v>
      </c>
      <c r="L86" s="22">
        <f t="shared" si="67"/>
        <v>0.7</v>
      </c>
      <c r="O86" s="21">
        <v>84</v>
      </c>
      <c r="P86" s="7">
        <f t="shared" ca="1" si="89"/>
        <v>0.6216216216216216</v>
      </c>
      <c r="Q86" s="7">
        <f t="shared" ca="1" si="82"/>
        <v>0.3783783783783784</v>
      </c>
      <c r="R86" s="7">
        <f t="shared" ca="1" si="79"/>
        <v>0.54761904761904767</v>
      </c>
      <c r="S86" s="7">
        <f t="shared" ca="1" si="80"/>
        <v>0.45238095238095238</v>
      </c>
    </row>
    <row r="87" spans="1:19" x14ac:dyDescent="0.15">
      <c r="A87" s="60"/>
      <c r="B87" s="21" t="s">
        <v>22</v>
      </c>
      <c r="C87" s="21">
        <f>[58]PARS_cds_stat!B87</f>
        <v>27</v>
      </c>
      <c r="D87" s="21">
        <f>[58]PARS_cds_stat!C87</f>
        <v>15</v>
      </c>
      <c r="E87" s="22">
        <f t="shared" ref="E87:F87" si="92">C87/(C86+C87)</f>
        <v>0.46551724137931033</v>
      </c>
      <c r="F87" s="22">
        <f t="shared" si="92"/>
        <v>0.3</v>
      </c>
      <c r="I87" s="60"/>
      <c r="J87" s="17" t="s">
        <v>22</v>
      </c>
      <c r="K87" s="22">
        <f t="shared" si="66"/>
        <v>0.46551724137931033</v>
      </c>
      <c r="L87" s="22">
        <f t="shared" si="67"/>
        <v>0.3</v>
      </c>
      <c r="O87" s="21">
        <v>85</v>
      </c>
      <c r="P87" s="7">
        <f t="shared" ca="1" si="89"/>
        <v>0.58333333333333337</v>
      </c>
      <c r="Q87" s="7">
        <f t="shared" ca="1" si="82"/>
        <v>0.41666666666666669</v>
      </c>
      <c r="R87" s="7">
        <f t="shared" ca="1" si="79"/>
        <v>0.44444444444444442</v>
      </c>
      <c r="S87" s="7">
        <f t="shared" ca="1" si="80"/>
        <v>0.55555555555555558</v>
      </c>
    </row>
    <row r="88" spans="1:19" x14ac:dyDescent="0.15">
      <c r="A88" s="60">
        <v>44</v>
      </c>
      <c r="B88" s="21" t="s">
        <v>21</v>
      </c>
      <c r="C88" s="21">
        <f>[58]PARS_cds_stat!B88</f>
        <v>33</v>
      </c>
      <c r="D88" s="21">
        <f>[58]PARS_cds_stat!C88</f>
        <v>37</v>
      </c>
      <c r="E88" s="22">
        <f t="shared" ref="E88:F88" si="93">C88/(C88+C89)</f>
        <v>0.5892857142857143</v>
      </c>
      <c r="F88" s="22">
        <f t="shared" si="93"/>
        <v>0.68518518518518523</v>
      </c>
      <c r="I88" s="60">
        <v>44</v>
      </c>
      <c r="J88" s="17" t="s">
        <v>21</v>
      </c>
      <c r="K88" s="22">
        <f t="shared" si="66"/>
        <v>0.5892857142857143</v>
      </c>
      <c r="L88" s="22">
        <f t="shared" si="67"/>
        <v>0.68518518518518523</v>
      </c>
      <c r="O88" s="21">
        <v>86</v>
      </c>
      <c r="P88" s="7">
        <f t="shared" ca="1" si="89"/>
        <v>0.625</v>
      </c>
      <c r="Q88" s="7">
        <f t="shared" ca="1" si="82"/>
        <v>0.375</v>
      </c>
      <c r="R88" s="7">
        <f t="shared" ca="1" si="79"/>
        <v>0.61111111111111116</v>
      </c>
      <c r="S88" s="7">
        <f t="shared" ca="1" si="80"/>
        <v>0.3888888888888889</v>
      </c>
    </row>
    <row r="89" spans="1:19" x14ac:dyDescent="0.15">
      <c r="A89" s="60"/>
      <c r="B89" s="21" t="s">
        <v>22</v>
      </c>
      <c r="C89" s="21">
        <f>[58]PARS_cds_stat!B89</f>
        <v>23</v>
      </c>
      <c r="D89" s="21">
        <f>[58]PARS_cds_stat!C89</f>
        <v>17</v>
      </c>
      <c r="E89" s="22">
        <f t="shared" ref="E89:F89" si="94">C89/(C88+C89)</f>
        <v>0.4107142857142857</v>
      </c>
      <c r="F89" s="22">
        <f t="shared" si="94"/>
        <v>0.31481481481481483</v>
      </c>
      <c r="I89" s="60"/>
      <c r="J89" s="17" t="s">
        <v>22</v>
      </c>
      <c r="K89" s="22">
        <f t="shared" si="66"/>
        <v>0.4107142857142857</v>
      </c>
      <c r="L89" s="22">
        <f t="shared" si="67"/>
        <v>0.31481481481481483</v>
      </c>
      <c r="O89" s="21">
        <v>87</v>
      </c>
      <c r="P89" s="7">
        <f t="shared" ca="1" si="89"/>
        <v>0.59375</v>
      </c>
      <c r="Q89" s="7">
        <f t="shared" ca="1" si="82"/>
        <v>0.40625</v>
      </c>
      <c r="R89" s="7">
        <f t="shared" ca="1" si="79"/>
        <v>0.55555555555555558</v>
      </c>
      <c r="S89" s="7">
        <f t="shared" ca="1" si="80"/>
        <v>0.44444444444444442</v>
      </c>
    </row>
    <row r="90" spans="1:19" x14ac:dyDescent="0.15">
      <c r="A90" s="60">
        <v>45</v>
      </c>
      <c r="B90" s="21" t="s">
        <v>21</v>
      </c>
      <c r="C90" s="21">
        <f>[58]PARS_cds_stat!B90</f>
        <v>31</v>
      </c>
      <c r="D90" s="21">
        <f>[58]PARS_cds_stat!C90</f>
        <v>28</v>
      </c>
      <c r="E90" s="22">
        <f t="shared" ref="E90:F90" si="95">C90/(C90+C91)</f>
        <v>0.63265306122448983</v>
      </c>
      <c r="F90" s="22">
        <f t="shared" si="95"/>
        <v>0.5490196078431373</v>
      </c>
      <c r="I90" s="60">
        <v>45</v>
      </c>
      <c r="J90" s="17" t="s">
        <v>21</v>
      </c>
      <c r="K90" s="22">
        <f t="shared" si="66"/>
        <v>0.63265306122448983</v>
      </c>
      <c r="L90" s="22">
        <f t="shared" si="67"/>
        <v>0.5490196078431373</v>
      </c>
      <c r="O90" s="21">
        <v>88</v>
      </c>
      <c r="P90" s="7">
        <f t="shared" ca="1" si="89"/>
        <v>0.73529411764705888</v>
      </c>
      <c r="Q90" s="7">
        <f t="shared" ca="1" si="82"/>
        <v>0.26470588235294118</v>
      </c>
      <c r="R90" s="7">
        <f t="shared" ca="1" si="79"/>
        <v>0.6097560975609756</v>
      </c>
      <c r="S90" s="7">
        <f t="shared" ca="1" si="80"/>
        <v>0.3902439024390244</v>
      </c>
    </row>
    <row r="91" spans="1:19" x14ac:dyDescent="0.15">
      <c r="A91" s="60"/>
      <c r="B91" s="21" t="s">
        <v>22</v>
      </c>
      <c r="C91" s="21">
        <f>[58]PARS_cds_stat!B91</f>
        <v>18</v>
      </c>
      <c r="D91" s="21">
        <f>[58]PARS_cds_stat!C91</f>
        <v>23</v>
      </c>
      <c r="E91" s="22">
        <f t="shared" ref="E91:F91" si="96">C91/(C90+C91)</f>
        <v>0.36734693877551022</v>
      </c>
      <c r="F91" s="22">
        <f t="shared" si="96"/>
        <v>0.45098039215686275</v>
      </c>
      <c r="I91" s="60"/>
      <c r="J91" s="17" t="s">
        <v>22</v>
      </c>
      <c r="K91" s="22">
        <f t="shared" si="66"/>
        <v>0.36734693877551022</v>
      </c>
      <c r="L91" s="22">
        <f t="shared" si="67"/>
        <v>0.45098039215686275</v>
      </c>
      <c r="O91" s="21">
        <v>89</v>
      </c>
      <c r="P91" s="7">
        <f t="shared" ca="1" si="89"/>
        <v>0.64102564102564108</v>
      </c>
      <c r="Q91" s="7">
        <f t="shared" ca="1" si="82"/>
        <v>0.35897435897435898</v>
      </c>
      <c r="R91" s="7">
        <f t="shared" ca="1" si="79"/>
        <v>0.69230769230769229</v>
      </c>
      <c r="S91" s="7">
        <f t="shared" ca="1" si="80"/>
        <v>0.30769230769230771</v>
      </c>
    </row>
    <row r="92" spans="1:19" x14ac:dyDescent="0.15">
      <c r="A92" s="60">
        <v>46</v>
      </c>
      <c r="B92" s="21" t="s">
        <v>21</v>
      </c>
      <c r="C92" s="21">
        <f>[58]PARS_cds_stat!B92</f>
        <v>27</v>
      </c>
      <c r="D92" s="21">
        <f>[58]PARS_cds_stat!C92</f>
        <v>29</v>
      </c>
      <c r="E92" s="22">
        <f t="shared" ref="E92:F92" si="97">C92/(C92+C93)</f>
        <v>0.50943396226415094</v>
      </c>
      <c r="F92" s="22">
        <f t="shared" si="97"/>
        <v>0.57999999999999996</v>
      </c>
      <c r="I92" s="60">
        <v>46</v>
      </c>
      <c r="J92" s="17" t="s">
        <v>21</v>
      </c>
      <c r="K92" s="22">
        <f t="shared" si="66"/>
        <v>0.50943396226415094</v>
      </c>
      <c r="L92" s="22">
        <f t="shared" si="67"/>
        <v>0.57999999999999996</v>
      </c>
      <c r="O92" s="21">
        <v>90</v>
      </c>
      <c r="P92" s="7">
        <f t="shared" ca="1" si="89"/>
        <v>0.56818181818181823</v>
      </c>
      <c r="Q92" s="7">
        <f t="shared" ca="1" si="82"/>
        <v>0.43181818181818182</v>
      </c>
      <c r="R92" s="7">
        <f t="shared" ca="1" si="79"/>
        <v>0.58333333333333337</v>
      </c>
      <c r="S92" s="7">
        <f t="shared" ca="1" si="80"/>
        <v>0.41666666666666669</v>
      </c>
    </row>
    <row r="93" spans="1:19" x14ac:dyDescent="0.15">
      <c r="A93" s="60"/>
      <c r="B93" s="21" t="s">
        <v>22</v>
      </c>
      <c r="C93" s="21">
        <f>[58]PARS_cds_stat!B93</f>
        <v>26</v>
      </c>
      <c r="D93" s="21">
        <f>[58]PARS_cds_stat!C93</f>
        <v>21</v>
      </c>
      <c r="E93" s="22">
        <f t="shared" ref="E93:F93" si="98">C93/(C92+C93)</f>
        <v>0.49056603773584906</v>
      </c>
      <c r="F93" s="22">
        <f t="shared" si="98"/>
        <v>0.42</v>
      </c>
      <c r="I93" s="60"/>
      <c r="J93" s="17" t="s">
        <v>22</v>
      </c>
      <c r="K93" s="22">
        <f t="shared" si="66"/>
        <v>0.49056603773584906</v>
      </c>
      <c r="L93" s="22">
        <f t="shared" si="67"/>
        <v>0.42</v>
      </c>
      <c r="O93" s="21">
        <v>91</v>
      </c>
      <c r="P93" s="7">
        <f t="shared" ca="1" si="89"/>
        <v>0.62790697674418605</v>
      </c>
      <c r="Q93" s="7">
        <f t="shared" ca="1" si="82"/>
        <v>0.37209302325581395</v>
      </c>
      <c r="R93" s="7">
        <f t="shared" ca="1" si="79"/>
        <v>0.51851851851851849</v>
      </c>
      <c r="S93" s="7">
        <f t="shared" ca="1" si="80"/>
        <v>0.48148148148148145</v>
      </c>
    </row>
    <row r="94" spans="1:19" x14ac:dyDescent="0.15">
      <c r="A94" s="60">
        <v>47</v>
      </c>
      <c r="B94" s="21" t="s">
        <v>21</v>
      </c>
      <c r="C94" s="21">
        <f>[58]PARS_cds_stat!B94</f>
        <v>31</v>
      </c>
      <c r="D94" s="21">
        <f>[58]PARS_cds_stat!C94</f>
        <v>22</v>
      </c>
      <c r="E94" s="22">
        <f t="shared" ref="E94:F94" si="99">C94/(C94+C95)</f>
        <v>0.60784313725490191</v>
      </c>
      <c r="F94" s="22">
        <f t="shared" si="99"/>
        <v>0.5</v>
      </c>
      <c r="I94" s="60">
        <v>47</v>
      </c>
      <c r="J94" s="17" t="s">
        <v>21</v>
      </c>
      <c r="K94" s="22">
        <f t="shared" si="66"/>
        <v>0.60784313725490191</v>
      </c>
      <c r="L94" s="22">
        <f t="shared" si="67"/>
        <v>0.5</v>
      </c>
      <c r="O94" s="21">
        <v>92</v>
      </c>
      <c r="P94" s="7">
        <f t="shared" ca="1" si="89"/>
        <v>0.6428571428571429</v>
      </c>
      <c r="Q94" s="7">
        <f t="shared" ca="1" si="82"/>
        <v>0.35714285714285715</v>
      </c>
      <c r="R94" s="7">
        <f t="shared" ca="1" si="79"/>
        <v>0.6470588235294118</v>
      </c>
      <c r="S94" s="7">
        <f t="shared" ca="1" si="80"/>
        <v>0.35294117647058826</v>
      </c>
    </row>
    <row r="95" spans="1:19" x14ac:dyDescent="0.15">
      <c r="A95" s="60"/>
      <c r="B95" s="21" t="s">
        <v>22</v>
      </c>
      <c r="C95" s="21">
        <f>[58]PARS_cds_stat!B95</f>
        <v>20</v>
      </c>
      <c r="D95" s="21">
        <f>[58]PARS_cds_stat!C95</f>
        <v>22</v>
      </c>
      <c r="E95" s="22">
        <f t="shared" ref="E95:F95" si="100">C95/(C94+C95)</f>
        <v>0.39215686274509803</v>
      </c>
      <c r="F95" s="22">
        <f t="shared" si="100"/>
        <v>0.5</v>
      </c>
      <c r="I95" s="60"/>
      <c r="J95" s="17" t="s">
        <v>22</v>
      </c>
      <c r="K95" s="22">
        <f t="shared" si="66"/>
        <v>0.39215686274509803</v>
      </c>
      <c r="L95" s="22">
        <f t="shared" si="67"/>
        <v>0.5</v>
      </c>
      <c r="O95" s="21">
        <v>93</v>
      </c>
      <c r="P95" s="7">
        <f t="shared" ca="1" si="89"/>
        <v>0.78125</v>
      </c>
      <c r="Q95" s="7">
        <f t="shared" ca="1" si="82"/>
        <v>0.21875</v>
      </c>
      <c r="R95" s="7">
        <f t="shared" ca="1" si="79"/>
        <v>0.7441860465116279</v>
      </c>
      <c r="S95" s="7">
        <f t="shared" ca="1" si="80"/>
        <v>0.2558139534883721</v>
      </c>
    </row>
    <row r="96" spans="1:19" x14ac:dyDescent="0.15">
      <c r="A96" s="60">
        <v>48</v>
      </c>
      <c r="B96" s="21" t="s">
        <v>21</v>
      </c>
      <c r="C96" s="21">
        <f>[58]PARS_cds_stat!B96</f>
        <v>35</v>
      </c>
      <c r="D96" s="21">
        <f>[58]PARS_cds_stat!C96</f>
        <v>36</v>
      </c>
      <c r="E96" s="22">
        <f t="shared" ref="E96:F96" si="101">C96/(C96+C97)</f>
        <v>0.57377049180327866</v>
      </c>
      <c r="F96" s="22">
        <f t="shared" si="101"/>
        <v>0.63157894736842102</v>
      </c>
      <c r="I96" s="60">
        <v>48</v>
      </c>
      <c r="J96" s="17" t="s">
        <v>21</v>
      </c>
      <c r="K96" s="22">
        <f t="shared" si="66"/>
        <v>0.57377049180327866</v>
      </c>
      <c r="L96" s="22">
        <f t="shared" si="67"/>
        <v>0.63157894736842102</v>
      </c>
      <c r="O96" s="21">
        <v>94</v>
      </c>
      <c r="P96" s="7">
        <f t="shared" ca="1" si="89"/>
        <v>0.59459459459459463</v>
      </c>
      <c r="Q96" s="7">
        <f t="shared" ca="1" si="82"/>
        <v>0.40540540540540543</v>
      </c>
      <c r="R96" s="7">
        <f t="shared" ca="1" si="79"/>
        <v>0.5</v>
      </c>
      <c r="S96" s="7">
        <f t="shared" ca="1" si="80"/>
        <v>0.5</v>
      </c>
    </row>
    <row r="97" spans="1:19" x14ac:dyDescent="0.15">
      <c r="A97" s="60"/>
      <c r="B97" s="21" t="s">
        <v>22</v>
      </c>
      <c r="C97" s="21">
        <f>[58]PARS_cds_stat!B97</f>
        <v>26</v>
      </c>
      <c r="D97" s="21">
        <f>[58]PARS_cds_stat!C97</f>
        <v>21</v>
      </c>
      <c r="E97" s="22">
        <f t="shared" ref="E97:F97" si="102">C97/(C96+C97)</f>
        <v>0.42622950819672129</v>
      </c>
      <c r="F97" s="22">
        <f t="shared" si="102"/>
        <v>0.36842105263157893</v>
      </c>
      <c r="I97" s="60"/>
      <c r="J97" s="17" t="s">
        <v>22</v>
      </c>
      <c r="K97" s="22">
        <f t="shared" si="66"/>
        <v>0.42622950819672129</v>
      </c>
      <c r="L97" s="22">
        <f t="shared" si="67"/>
        <v>0.36842105263157893</v>
      </c>
      <c r="O97" s="21">
        <v>95</v>
      </c>
      <c r="P97" s="7">
        <f t="shared" ca="1" si="89"/>
        <v>0.53846153846153844</v>
      </c>
      <c r="Q97" s="7">
        <f t="shared" ca="1" si="82"/>
        <v>0.46153846153846156</v>
      </c>
      <c r="R97" s="7">
        <f t="shared" ca="1" si="79"/>
        <v>0.5</v>
      </c>
      <c r="S97" s="7">
        <f t="shared" ca="1" si="80"/>
        <v>0.5</v>
      </c>
    </row>
    <row r="98" spans="1:19" x14ac:dyDescent="0.15">
      <c r="A98" s="60">
        <v>49</v>
      </c>
      <c r="B98" s="21" t="s">
        <v>21</v>
      </c>
      <c r="C98" s="21">
        <f>[58]PARS_cds_stat!B98</f>
        <v>26</v>
      </c>
      <c r="D98" s="21">
        <f>[58]PARS_cds_stat!C98</f>
        <v>30</v>
      </c>
      <c r="E98" s="22">
        <f t="shared" ref="E98:F98" si="103">C98/(C98+C99)</f>
        <v>0.44067796610169491</v>
      </c>
      <c r="F98" s="22">
        <f t="shared" si="103"/>
        <v>0.57692307692307687</v>
      </c>
      <c r="I98" s="60">
        <v>49</v>
      </c>
      <c r="J98" s="17" t="s">
        <v>21</v>
      </c>
      <c r="K98" s="22">
        <f t="shared" si="66"/>
        <v>0.44067796610169491</v>
      </c>
      <c r="L98" s="22">
        <f t="shared" si="67"/>
        <v>0.57692307692307687</v>
      </c>
      <c r="O98" s="21">
        <v>96</v>
      </c>
      <c r="P98" s="7">
        <f t="shared" ca="1" si="89"/>
        <v>0.69767441860465118</v>
      </c>
      <c r="Q98" s="7">
        <f t="shared" ca="1" si="82"/>
        <v>0.30232558139534882</v>
      </c>
      <c r="R98" s="7">
        <f t="shared" ca="1" si="79"/>
        <v>0.46666666666666667</v>
      </c>
      <c r="S98" s="7">
        <f t="shared" ca="1" si="80"/>
        <v>0.53333333333333333</v>
      </c>
    </row>
    <row r="99" spans="1:19" x14ac:dyDescent="0.15">
      <c r="A99" s="60"/>
      <c r="B99" s="21" t="s">
        <v>22</v>
      </c>
      <c r="C99" s="21">
        <f>[58]PARS_cds_stat!B99</f>
        <v>33</v>
      </c>
      <c r="D99" s="21">
        <f>[58]PARS_cds_stat!C99</f>
        <v>22</v>
      </c>
      <c r="E99" s="22">
        <f t="shared" ref="E99:F99" si="104">C99/(C98+C99)</f>
        <v>0.55932203389830504</v>
      </c>
      <c r="F99" s="22">
        <f t="shared" si="104"/>
        <v>0.42307692307692307</v>
      </c>
      <c r="I99" s="60"/>
      <c r="J99" s="17" t="s">
        <v>22</v>
      </c>
      <c r="K99" s="22">
        <f t="shared" si="66"/>
        <v>0.55932203389830504</v>
      </c>
      <c r="L99" s="22">
        <f t="shared" si="67"/>
        <v>0.42307692307692307</v>
      </c>
      <c r="O99" s="21">
        <v>97</v>
      </c>
      <c r="P99" s="7">
        <f t="shared" ca="1" si="89"/>
        <v>0.5625</v>
      </c>
      <c r="Q99" s="7">
        <f t="shared" ca="1" si="82"/>
        <v>0.4375</v>
      </c>
      <c r="R99" s="7">
        <f t="shared" ca="1" si="79"/>
        <v>0.61702127659574468</v>
      </c>
      <c r="S99" s="7">
        <f t="shared" ca="1" si="80"/>
        <v>0.38297872340425532</v>
      </c>
    </row>
    <row r="100" spans="1:19" x14ac:dyDescent="0.15">
      <c r="A100" s="60">
        <v>50</v>
      </c>
      <c r="B100" s="21" t="s">
        <v>21</v>
      </c>
      <c r="C100" s="21">
        <f>[58]PARS_cds_stat!B100</f>
        <v>27</v>
      </c>
      <c r="D100" s="21">
        <f>[58]PARS_cds_stat!C100</f>
        <v>29</v>
      </c>
      <c r="E100" s="22">
        <f t="shared" ref="E100:F100" si="105">C100/(C100+C101)</f>
        <v>0.4576271186440678</v>
      </c>
      <c r="F100" s="22">
        <f t="shared" si="105"/>
        <v>0.63043478260869568</v>
      </c>
      <c r="I100" s="60">
        <v>50</v>
      </c>
      <c r="J100" s="17" t="s">
        <v>21</v>
      </c>
      <c r="K100" s="22">
        <f t="shared" si="66"/>
        <v>0.4576271186440678</v>
      </c>
      <c r="L100" s="22">
        <f t="shared" si="67"/>
        <v>0.63043478260869568</v>
      </c>
      <c r="O100" s="21">
        <v>98</v>
      </c>
      <c r="P100" s="7">
        <f t="shared" ca="1" si="89"/>
        <v>0.57446808510638303</v>
      </c>
      <c r="Q100" s="7">
        <f t="shared" ca="1" si="82"/>
        <v>0.42553191489361702</v>
      </c>
      <c r="R100" s="7">
        <f t="shared" ca="1" si="79"/>
        <v>0.5</v>
      </c>
      <c r="S100" s="7">
        <f t="shared" ca="1" si="80"/>
        <v>0.5</v>
      </c>
    </row>
    <row r="101" spans="1:19" x14ac:dyDescent="0.15">
      <c r="A101" s="60"/>
      <c r="B101" s="21" t="s">
        <v>22</v>
      </c>
      <c r="C101" s="21">
        <f>[58]PARS_cds_stat!B101</f>
        <v>32</v>
      </c>
      <c r="D101" s="21">
        <f>[58]PARS_cds_stat!C101</f>
        <v>17</v>
      </c>
      <c r="E101" s="22">
        <f t="shared" ref="E101:F101" si="106">C101/(C100+C101)</f>
        <v>0.5423728813559322</v>
      </c>
      <c r="F101" s="22">
        <f t="shared" si="106"/>
        <v>0.36956521739130432</v>
      </c>
      <c r="I101" s="60"/>
      <c r="J101" s="17" t="s">
        <v>22</v>
      </c>
      <c r="K101" s="22">
        <f t="shared" si="66"/>
        <v>0.5423728813559322</v>
      </c>
      <c r="L101" s="22">
        <f t="shared" si="67"/>
        <v>0.36956521739130432</v>
      </c>
      <c r="O101" s="21">
        <v>99</v>
      </c>
      <c r="P101" s="7">
        <f t="shared" ca="1" si="89"/>
        <v>0.70588235294117652</v>
      </c>
      <c r="Q101" s="7">
        <f t="shared" ca="1" si="82"/>
        <v>0.29411764705882354</v>
      </c>
      <c r="R101" s="7">
        <f t="shared" ca="1" si="79"/>
        <v>0.43243243243243246</v>
      </c>
      <c r="S101" s="7">
        <f t="shared" ca="1" si="80"/>
        <v>0.56756756756756754</v>
      </c>
    </row>
    <row r="102" spans="1:19" x14ac:dyDescent="0.15">
      <c r="A102" s="60">
        <v>51</v>
      </c>
      <c r="B102" s="21" t="s">
        <v>21</v>
      </c>
      <c r="C102" s="21">
        <f>[58]PARS_cds_stat!B102</f>
        <v>33</v>
      </c>
      <c r="D102" s="21">
        <f>[58]PARS_cds_stat!C102</f>
        <v>22</v>
      </c>
      <c r="E102" s="22">
        <f t="shared" ref="E102:F102" si="107">C102/(C102+C103)</f>
        <v>0.61111111111111116</v>
      </c>
      <c r="F102" s="22">
        <f t="shared" si="107"/>
        <v>0.62857142857142856</v>
      </c>
      <c r="I102" s="60">
        <v>51</v>
      </c>
      <c r="J102" s="17" t="s">
        <v>21</v>
      </c>
      <c r="K102" s="22">
        <f t="shared" si="66"/>
        <v>0.61111111111111116</v>
      </c>
      <c r="L102" s="22">
        <f t="shared" si="67"/>
        <v>0.62857142857142856</v>
      </c>
      <c r="O102" s="21">
        <v>100</v>
      </c>
      <c r="P102" s="7">
        <f t="shared" ca="1" si="89"/>
        <v>0.69387755102040816</v>
      </c>
      <c r="Q102" s="7">
        <f t="shared" ca="1" si="82"/>
        <v>0.30612244897959184</v>
      </c>
      <c r="R102" s="7">
        <f t="shared" ca="1" si="79"/>
        <v>0.5</v>
      </c>
      <c r="S102" s="7">
        <f t="shared" ca="1" si="80"/>
        <v>0.5</v>
      </c>
    </row>
    <row r="103" spans="1:19" x14ac:dyDescent="0.15">
      <c r="A103" s="60"/>
      <c r="B103" s="21" t="s">
        <v>22</v>
      </c>
      <c r="C103" s="21">
        <f>[58]PARS_cds_stat!B103</f>
        <v>21</v>
      </c>
      <c r="D103" s="21">
        <f>[58]PARS_cds_stat!C103</f>
        <v>13</v>
      </c>
      <c r="E103" s="22">
        <f t="shared" ref="E103:F103" si="108">C103/(C102+C103)</f>
        <v>0.3888888888888889</v>
      </c>
      <c r="F103" s="22">
        <f t="shared" si="108"/>
        <v>0.37142857142857144</v>
      </c>
      <c r="I103" s="60"/>
      <c r="J103" s="17" t="s">
        <v>22</v>
      </c>
      <c r="K103" s="22">
        <f t="shared" si="66"/>
        <v>0.3888888888888889</v>
      </c>
      <c r="L103" s="22">
        <f t="shared" si="67"/>
        <v>0.37142857142857144</v>
      </c>
      <c r="O103" s="21">
        <v>101</v>
      </c>
      <c r="P103" s="7">
        <f t="shared" ca="1" si="89"/>
        <v>0.6216216216216216</v>
      </c>
      <c r="Q103" s="7">
        <f t="shared" ca="1" si="82"/>
        <v>0.3783783783783784</v>
      </c>
      <c r="R103" s="7">
        <f t="shared" ca="1" si="79"/>
        <v>0.5357142857142857</v>
      </c>
      <c r="S103" s="7">
        <f t="shared" ca="1" si="80"/>
        <v>0.4642857142857143</v>
      </c>
    </row>
    <row r="104" spans="1:19" x14ac:dyDescent="0.15">
      <c r="A104" s="60">
        <v>52</v>
      </c>
      <c r="B104" s="21" t="s">
        <v>21</v>
      </c>
      <c r="C104" s="21">
        <f>[58]PARS_cds_stat!B104</f>
        <v>31</v>
      </c>
      <c r="D104" s="21">
        <f>[58]PARS_cds_stat!C104</f>
        <v>33</v>
      </c>
      <c r="E104" s="22">
        <f t="shared" ref="E104:F104" si="109">C104/(C104+C105)</f>
        <v>0.58490566037735847</v>
      </c>
      <c r="F104" s="22">
        <f t="shared" si="109"/>
        <v>0.61111111111111116</v>
      </c>
      <c r="I104" s="60">
        <v>52</v>
      </c>
      <c r="J104" s="17" t="s">
        <v>21</v>
      </c>
      <c r="K104" s="22">
        <f t="shared" si="66"/>
        <v>0.58490566037735847</v>
      </c>
      <c r="L104" s="22">
        <f t="shared" si="67"/>
        <v>0.61111111111111116</v>
      </c>
      <c r="O104" s="21">
        <v>102</v>
      </c>
      <c r="P104" s="7">
        <f t="shared" ca="1" si="89"/>
        <v>0.5535714285714286</v>
      </c>
      <c r="Q104" s="7">
        <f t="shared" ca="1" si="82"/>
        <v>0.44642857142857145</v>
      </c>
      <c r="R104" s="7">
        <f t="shared" ca="1" si="79"/>
        <v>0.52173913043478259</v>
      </c>
      <c r="S104" s="7">
        <f t="shared" ca="1" si="80"/>
        <v>0.47826086956521741</v>
      </c>
    </row>
    <row r="105" spans="1:19" x14ac:dyDescent="0.15">
      <c r="A105" s="60"/>
      <c r="B105" s="21" t="s">
        <v>22</v>
      </c>
      <c r="C105" s="21">
        <f>[58]PARS_cds_stat!B105</f>
        <v>22</v>
      </c>
      <c r="D105" s="21">
        <f>[58]PARS_cds_stat!C105</f>
        <v>21</v>
      </c>
      <c r="E105" s="22">
        <f t="shared" ref="E105:F105" si="110">C105/(C104+C105)</f>
        <v>0.41509433962264153</v>
      </c>
      <c r="F105" s="22">
        <f t="shared" si="110"/>
        <v>0.3888888888888889</v>
      </c>
      <c r="I105" s="60"/>
      <c r="J105" s="17" t="s">
        <v>22</v>
      </c>
      <c r="K105" s="22">
        <f t="shared" si="66"/>
        <v>0.41509433962264153</v>
      </c>
      <c r="L105" s="22">
        <f t="shared" si="67"/>
        <v>0.3888888888888889</v>
      </c>
      <c r="O105" s="21">
        <v>103</v>
      </c>
      <c r="P105" s="7">
        <f t="shared" ca="1" si="89"/>
        <v>0.62745098039215685</v>
      </c>
      <c r="Q105" s="7">
        <f t="shared" ca="1" si="82"/>
        <v>0.37254901960784315</v>
      </c>
      <c r="R105" s="7">
        <f t="shared" ca="1" si="79"/>
        <v>0.57777777777777772</v>
      </c>
      <c r="S105" s="7">
        <f t="shared" ca="1" si="80"/>
        <v>0.42222222222222222</v>
      </c>
    </row>
    <row r="106" spans="1:19" x14ac:dyDescent="0.15">
      <c r="A106" s="60">
        <v>53</v>
      </c>
      <c r="B106" s="21" t="s">
        <v>21</v>
      </c>
      <c r="C106" s="21">
        <f>[58]PARS_cds_stat!B106</f>
        <v>24</v>
      </c>
      <c r="D106" s="21">
        <f>[58]PARS_cds_stat!C106</f>
        <v>26</v>
      </c>
      <c r="E106" s="22">
        <f t="shared" ref="E106:F106" si="111">C106/(C106+C107)</f>
        <v>0.48979591836734693</v>
      </c>
      <c r="F106" s="22">
        <f t="shared" si="111"/>
        <v>0.68421052631578949</v>
      </c>
      <c r="I106" s="60">
        <v>53</v>
      </c>
      <c r="J106" s="17" t="s">
        <v>21</v>
      </c>
      <c r="K106" s="22">
        <f t="shared" si="66"/>
        <v>0.48979591836734693</v>
      </c>
      <c r="L106" s="22">
        <f t="shared" si="67"/>
        <v>0.68421052631578949</v>
      </c>
      <c r="O106" s="21">
        <v>104</v>
      </c>
      <c r="P106" s="7">
        <f t="shared" ca="1" si="89"/>
        <v>0.5636363636363636</v>
      </c>
      <c r="Q106" s="7">
        <f t="shared" ca="1" si="82"/>
        <v>0.43636363636363634</v>
      </c>
      <c r="R106" s="7">
        <f t="shared" ca="1" si="79"/>
        <v>0.56000000000000005</v>
      </c>
      <c r="S106" s="7">
        <f t="shared" ca="1" si="80"/>
        <v>0.44</v>
      </c>
    </row>
    <row r="107" spans="1:19" x14ac:dyDescent="0.15">
      <c r="A107" s="60"/>
      <c r="B107" s="21" t="s">
        <v>22</v>
      </c>
      <c r="C107" s="21">
        <f>[58]PARS_cds_stat!B107</f>
        <v>25</v>
      </c>
      <c r="D107" s="21">
        <f>[58]PARS_cds_stat!C107</f>
        <v>12</v>
      </c>
      <c r="E107" s="22">
        <f t="shared" ref="E107:F107" si="112">C107/(C106+C107)</f>
        <v>0.51020408163265307</v>
      </c>
      <c r="F107" s="22">
        <f t="shared" si="112"/>
        <v>0.31578947368421051</v>
      </c>
      <c r="I107" s="60"/>
      <c r="J107" s="17" t="s">
        <v>22</v>
      </c>
      <c r="K107" s="22">
        <f t="shared" si="66"/>
        <v>0.51020408163265307</v>
      </c>
      <c r="L107" s="22">
        <f t="shared" si="67"/>
        <v>0.31578947368421051</v>
      </c>
      <c r="O107" s="21">
        <v>105</v>
      </c>
      <c r="P107" s="7">
        <f t="shared" ca="1" si="89"/>
        <v>0.51282051282051277</v>
      </c>
      <c r="Q107" s="7">
        <f t="shared" ca="1" si="82"/>
        <v>0.48717948717948717</v>
      </c>
      <c r="R107" s="7">
        <f t="shared" ca="1" si="79"/>
        <v>0.55263157894736847</v>
      </c>
      <c r="S107" s="7">
        <f t="shared" ca="1" si="80"/>
        <v>0.44736842105263158</v>
      </c>
    </row>
    <row r="108" spans="1:19" x14ac:dyDescent="0.15">
      <c r="A108" s="60">
        <v>54</v>
      </c>
      <c r="B108" s="21" t="s">
        <v>21</v>
      </c>
      <c r="C108" s="21">
        <f>[58]PARS_cds_stat!B108</f>
        <v>32</v>
      </c>
      <c r="D108" s="21">
        <f>[58]PARS_cds_stat!C108</f>
        <v>34</v>
      </c>
      <c r="E108" s="22">
        <f t="shared" ref="E108:F108" si="113">C108/(C108+C109)</f>
        <v>0.5714285714285714</v>
      </c>
      <c r="F108" s="22">
        <f t="shared" si="113"/>
        <v>0.6071428571428571</v>
      </c>
      <c r="I108" s="60">
        <v>54</v>
      </c>
      <c r="J108" s="17" t="s">
        <v>21</v>
      </c>
      <c r="K108" s="22">
        <f t="shared" si="66"/>
        <v>0.5714285714285714</v>
      </c>
      <c r="L108" s="22">
        <f t="shared" si="67"/>
        <v>0.6071428571428571</v>
      </c>
      <c r="O108" s="21">
        <v>106</v>
      </c>
      <c r="P108" s="7">
        <f t="shared" ca="1" si="89"/>
        <v>0.70454545454545459</v>
      </c>
      <c r="Q108" s="7">
        <f t="shared" ca="1" si="82"/>
        <v>0.29545454545454547</v>
      </c>
      <c r="R108" s="7">
        <f t="shared" ca="1" si="79"/>
        <v>0.56818181818181823</v>
      </c>
      <c r="S108" s="7">
        <f t="shared" ca="1" si="80"/>
        <v>0.43181818181818182</v>
      </c>
    </row>
    <row r="109" spans="1:19" x14ac:dyDescent="0.15">
      <c r="A109" s="60"/>
      <c r="B109" s="21" t="s">
        <v>22</v>
      </c>
      <c r="C109" s="21">
        <f>[58]PARS_cds_stat!B109</f>
        <v>24</v>
      </c>
      <c r="D109" s="21">
        <f>[58]PARS_cds_stat!C109</f>
        <v>22</v>
      </c>
      <c r="E109" s="22">
        <f t="shared" ref="E109:F109" si="114">C109/(C108+C109)</f>
        <v>0.42857142857142855</v>
      </c>
      <c r="F109" s="22">
        <f t="shared" si="114"/>
        <v>0.39285714285714285</v>
      </c>
      <c r="I109" s="60"/>
      <c r="J109" s="17" t="s">
        <v>22</v>
      </c>
      <c r="K109" s="22">
        <f t="shared" si="66"/>
        <v>0.42857142857142855</v>
      </c>
      <c r="L109" s="22">
        <f t="shared" si="67"/>
        <v>0.39285714285714285</v>
      </c>
      <c r="O109" s="21">
        <v>107</v>
      </c>
      <c r="P109" s="7">
        <f t="shared" ca="1" si="89"/>
        <v>0.67272727272727273</v>
      </c>
      <c r="Q109" s="7">
        <f t="shared" ca="1" si="82"/>
        <v>0.32727272727272727</v>
      </c>
      <c r="R109" s="7">
        <f t="shared" ca="1" si="79"/>
        <v>0.66666666666666663</v>
      </c>
      <c r="S109" s="7">
        <f t="shared" ca="1" si="80"/>
        <v>0.33333333333333331</v>
      </c>
    </row>
    <row r="110" spans="1:19" x14ac:dyDescent="0.15">
      <c r="A110" s="60">
        <v>55</v>
      </c>
      <c r="B110" s="21" t="s">
        <v>21</v>
      </c>
      <c r="C110" s="21">
        <f>[58]PARS_cds_stat!B110</f>
        <v>36</v>
      </c>
      <c r="D110" s="21">
        <f>[58]PARS_cds_stat!C110</f>
        <v>32</v>
      </c>
      <c r="E110" s="22">
        <f t="shared" ref="E110:F110" si="115">C110/(C110+C111)</f>
        <v>0.69230769230769229</v>
      </c>
      <c r="F110" s="22">
        <f t="shared" si="115"/>
        <v>0.61538461538461542</v>
      </c>
      <c r="I110" s="60">
        <v>55</v>
      </c>
      <c r="J110" s="17" t="s">
        <v>21</v>
      </c>
      <c r="K110" s="22">
        <f t="shared" si="66"/>
        <v>0.69230769230769229</v>
      </c>
      <c r="L110" s="22">
        <f t="shared" si="67"/>
        <v>0.61538461538461542</v>
      </c>
      <c r="O110" s="21">
        <v>108</v>
      </c>
      <c r="P110" s="7">
        <f t="shared" ca="1" si="89"/>
        <v>0.66666666666666663</v>
      </c>
      <c r="Q110" s="7">
        <f t="shared" ca="1" si="82"/>
        <v>0.33333333333333331</v>
      </c>
      <c r="R110" s="7">
        <f t="shared" ca="1" si="79"/>
        <v>0.61764705882352944</v>
      </c>
      <c r="S110" s="7">
        <f t="shared" ca="1" si="80"/>
        <v>0.38235294117647056</v>
      </c>
    </row>
    <row r="111" spans="1:19" x14ac:dyDescent="0.15">
      <c r="A111" s="60"/>
      <c r="B111" s="21" t="s">
        <v>22</v>
      </c>
      <c r="C111" s="21">
        <f>[58]PARS_cds_stat!B111</f>
        <v>16</v>
      </c>
      <c r="D111" s="21">
        <f>[58]PARS_cds_stat!C111</f>
        <v>20</v>
      </c>
      <c r="E111" s="22">
        <f t="shared" ref="E111:F111" si="116">C111/(C110+C111)</f>
        <v>0.30769230769230771</v>
      </c>
      <c r="F111" s="22">
        <f t="shared" si="116"/>
        <v>0.38461538461538464</v>
      </c>
      <c r="I111" s="60"/>
      <c r="J111" s="17" t="s">
        <v>22</v>
      </c>
      <c r="K111" s="22">
        <f t="shared" si="66"/>
        <v>0.30769230769230771</v>
      </c>
      <c r="L111" s="22">
        <f t="shared" si="67"/>
        <v>0.38461538461538464</v>
      </c>
      <c r="O111" s="21">
        <v>109</v>
      </c>
      <c r="P111" s="7">
        <f t="shared" ca="1" si="89"/>
        <v>0.58064516129032262</v>
      </c>
      <c r="Q111" s="7">
        <f t="shared" ca="1" si="82"/>
        <v>0.41935483870967744</v>
      </c>
      <c r="R111" s="7">
        <f t="shared" ca="1" si="79"/>
        <v>0.59090909090909094</v>
      </c>
      <c r="S111" s="7">
        <f t="shared" ca="1" si="80"/>
        <v>0.40909090909090912</v>
      </c>
    </row>
    <row r="112" spans="1:19" x14ac:dyDescent="0.15">
      <c r="A112" s="60">
        <v>56</v>
      </c>
      <c r="B112" s="21" t="s">
        <v>21</v>
      </c>
      <c r="C112" s="21">
        <f>[58]PARS_cds_stat!B112</f>
        <v>32</v>
      </c>
      <c r="D112" s="21">
        <f>[58]PARS_cds_stat!C112</f>
        <v>32</v>
      </c>
      <c r="E112" s="22">
        <f t="shared" ref="E112:F112" si="117">C112/(C112+C113)</f>
        <v>0.59259259259259256</v>
      </c>
      <c r="F112" s="22">
        <f t="shared" si="117"/>
        <v>0.62745098039215685</v>
      </c>
      <c r="I112" s="60">
        <v>56</v>
      </c>
      <c r="J112" s="17" t="s">
        <v>21</v>
      </c>
      <c r="K112" s="22">
        <f t="shared" si="66"/>
        <v>0.59259259259259256</v>
      </c>
      <c r="L112" s="22">
        <f t="shared" si="67"/>
        <v>0.62745098039215685</v>
      </c>
      <c r="O112" s="21">
        <v>110</v>
      </c>
      <c r="P112" s="7">
        <f t="shared" ca="1" si="89"/>
        <v>0.54716981132075471</v>
      </c>
      <c r="Q112" s="7">
        <f t="shared" ca="1" si="82"/>
        <v>0.45283018867924529</v>
      </c>
      <c r="R112" s="7">
        <f t="shared" ca="1" si="79"/>
        <v>0.55263157894736847</v>
      </c>
      <c r="S112" s="7">
        <f t="shared" ca="1" si="80"/>
        <v>0.44736842105263158</v>
      </c>
    </row>
    <row r="113" spans="1:19" x14ac:dyDescent="0.15">
      <c r="A113" s="60"/>
      <c r="B113" s="21" t="s">
        <v>22</v>
      </c>
      <c r="C113" s="21">
        <f>[58]PARS_cds_stat!B113</f>
        <v>22</v>
      </c>
      <c r="D113" s="21">
        <f>[58]PARS_cds_stat!C113</f>
        <v>19</v>
      </c>
      <c r="E113" s="22">
        <f t="shared" ref="E113:F113" si="118">C113/(C112+C113)</f>
        <v>0.40740740740740738</v>
      </c>
      <c r="F113" s="22">
        <f t="shared" si="118"/>
        <v>0.37254901960784315</v>
      </c>
      <c r="I113" s="60"/>
      <c r="J113" s="17" t="s">
        <v>22</v>
      </c>
      <c r="K113" s="22">
        <f t="shared" si="66"/>
        <v>0.40740740740740738</v>
      </c>
      <c r="L113" s="22">
        <f t="shared" si="67"/>
        <v>0.37254901960784315</v>
      </c>
      <c r="O113" s="21">
        <v>111</v>
      </c>
      <c r="P113" s="7">
        <f t="shared" ca="1" si="89"/>
        <v>0.76666666666666672</v>
      </c>
      <c r="Q113" s="7">
        <f t="shared" ca="1" si="82"/>
        <v>0.23333333333333334</v>
      </c>
      <c r="R113" s="7">
        <f t="shared" ca="1" si="79"/>
        <v>0.53846153846153844</v>
      </c>
      <c r="S113" s="7">
        <f t="shared" ca="1" si="80"/>
        <v>0.46153846153846156</v>
      </c>
    </row>
    <row r="114" spans="1:19" x14ac:dyDescent="0.15">
      <c r="A114" s="60">
        <v>57</v>
      </c>
      <c r="B114" s="21" t="s">
        <v>21</v>
      </c>
      <c r="C114" s="21">
        <f>[58]PARS_cds_stat!B114</f>
        <v>33</v>
      </c>
      <c r="D114" s="21">
        <f>[58]PARS_cds_stat!C114</f>
        <v>21</v>
      </c>
      <c r="E114" s="22">
        <f t="shared" ref="E114:F114" si="119">C114/(C114+C115)</f>
        <v>0.66</v>
      </c>
      <c r="F114" s="22">
        <f t="shared" si="119"/>
        <v>0.56756756756756754</v>
      </c>
      <c r="I114" s="60">
        <v>57</v>
      </c>
      <c r="J114" s="17" t="s">
        <v>21</v>
      </c>
      <c r="K114" s="22">
        <f t="shared" si="66"/>
        <v>0.66</v>
      </c>
      <c r="L114" s="22">
        <f t="shared" si="67"/>
        <v>0.56756756756756754</v>
      </c>
      <c r="O114" s="21">
        <v>112</v>
      </c>
      <c r="P114" s="7">
        <f t="shared" ca="1" si="89"/>
        <v>0.66666666666666663</v>
      </c>
      <c r="Q114" s="7">
        <f t="shared" ca="1" si="82"/>
        <v>0.33333333333333331</v>
      </c>
      <c r="R114" s="7">
        <f t="shared" ca="1" si="79"/>
        <v>0.46938775510204084</v>
      </c>
      <c r="S114" s="7">
        <f t="shared" ca="1" si="80"/>
        <v>0.53061224489795922</v>
      </c>
    </row>
    <row r="115" spans="1:19" x14ac:dyDescent="0.15">
      <c r="A115" s="60"/>
      <c r="B115" s="21" t="s">
        <v>22</v>
      </c>
      <c r="C115" s="21">
        <f>[58]PARS_cds_stat!B115</f>
        <v>17</v>
      </c>
      <c r="D115" s="21">
        <f>[58]PARS_cds_stat!C115</f>
        <v>16</v>
      </c>
      <c r="E115" s="22">
        <f t="shared" ref="E115:F115" si="120">C115/(C114+C115)</f>
        <v>0.34</v>
      </c>
      <c r="F115" s="22">
        <f t="shared" si="120"/>
        <v>0.43243243243243246</v>
      </c>
      <c r="I115" s="60"/>
      <c r="J115" s="17" t="s">
        <v>22</v>
      </c>
      <c r="K115" s="22">
        <f t="shared" si="66"/>
        <v>0.34</v>
      </c>
      <c r="L115" s="22">
        <f t="shared" si="67"/>
        <v>0.43243243243243246</v>
      </c>
      <c r="O115" s="21">
        <v>113</v>
      </c>
      <c r="P115" s="7">
        <f t="shared" ca="1" si="89"/>
        <v>0.61538461538461542</v>
      </c>
      <c r="Q115" s="7">
        <f t="shared" ca="1" si="82"/>
        <v>0.38461538461538464</v>
      </c>
      <c r="R115" s="7">
        <f t="shared" ca="1" si="79"/>
        <v>0.68888888888888888</v>
      </c>
      <c r="S115" s="7">
        <f t="shared" ca="1" si="80"/>
        <v>0.31111111111111112</v>
      </c>
    </row>
    <row r="116" spans="1:19" x14ac:dyDescent="0.15">
      <c r="A116" s="60">
        <v>58</v>
      </c>
      <c r="B116" s="21" t="s">
        <v>21</v>
      </c>
      <c r="C116" s="21">
        <f>[58]PARS_cds_stat!B116</f>
        <v>38</v>
      </c>
      <c r="D116" s="21">
        <f>[58]PARS_cds_stat!C116</f>
        <v>23</v>
      </c>
      <c r="E116" s="22">
        <f t="shared" ref="E116:F116" si="121">C116/(C116+C117)</f>
        <v>0.5757575757575758</v>
      </c>
      <c r="F116" s="22">
        <f t="shared" si="121"/>
        <v>0.58974358974358976</v>
      </c>
      <c r="I116" s="60">
        <v>58</v>
      </c>
      <c r="J116" s="17" t="s">
        <v>21</v>
      </c>
      <c r="K116" s="22">
        <f t="shared" si="66"/>
        <v>0.5757575757575758</v>
      </c>
      <c r="L116" s="22">
        <f t="shared" si="67"/>
        <v>0.58974358974358976</v>
      </c>
      <c r="O116" s="21">
        <v>114</v>
      </c>
      <c r="P116" s="7">
        <f t="shared" ca="1" si="89"/>
        <v>0.6</v>
      </c>
      <c r="Q116" s="7">
        <f t="shared" ca="1" si="82"/>
        <v>0.4</v>
      </c>
      <c r="R116" s="7">
        <f t="shared" ca="1" si="79"/>
        <v>0.59615384615384615</v>
      </c>
      <c r="S116" s="7">
        <f t="shared" ca="1" si="80"/>
        <v>0.40384615384615385</v>
      </c>
    </row>
    <row r="117" spans="1:19" x14ac:dyDescent="0.15">
      <c r="A117" s="60"/>
      <c r="B117" s="21" t="s">
        <v>22</v>
      </c>
      <c r="C117" s="21">
        <f>[58]PARS_cds_stat!B117</f>
        <v>28</v>
      </c>
      <c r="D117" s="21">
        <f>[58]PARS_cds_stat!C117</f>
        <v>16</v>
      </c>
      <c r="E117" s="22">
        <f t="shared" ref="E117:F117" si="122">C117/(C116+C117)</f>
        <v>0.42424242424242425</v>
      </c>
      <c r="F117" s="22">
        <f t="shared" si="122"/>
        <v>0.41025641025641024</v>
      </c>
      <c r="I117" s="60"/>
      <c r="J117" s="17" t="s">
        <v>22</v>
      </c>
      <c r="K117" s="22">
        <f t="shared" si="66"/>
        <v>0.42424242424242425</v>
      </c>
      <c r="L117" s="22">
        <f t="shared" si="67"/>
        <v>0.41025641025641024</v>
      </c>
      <c r="O117" s="21">
        <v>115</v>
      </c>
      <c r="P117" s="7">
        <f t="shared" ca="1" si="89"/>
        <v>0.64772727272727271</v>
      </c>
      <c r="Q117" s="7">
        <f t="shared" ca="1" si="82"/>
        <v>0.35227272727272729</v>
      </c>
      <c r="R117" s="7">
        <f t="shared" ca="1" si="79"/>
        <v>0.5</v>
      </c>
      <c r="S117" s="7">
        <f t="shared" ca="1" si="80"/>
        <v>0.5</v>
      </c>
    </row>
    <row r="118" spans="1:19" x14ac:dyDescent="0.15">
      <c r="A118" s="60">
        <v>59</v>
      </c>
      <c r="B118" s="21" t="s">
        <v>21</v>
      </c>
      <c r="C118" s="21">
        <f>[58]PARS_cds_stat!B118</f>
        <v>33</v>
      </c>
      <c r="D118" s="21">
        <f>[58]PARS_cds_stat!C118</f>
        <v>21</v>
      </c>
      <c r="E118" s="22">
        <f t="shared" ref="E118:F118" si="123">C118/(C118+C119)</f>
        <v>0.61111111111111116</v>
      </c>
      <c r="F118" s="22">
        <f t="shared" si="123"/>
        <v>0.6</v>
      </c>
      <c r="I118" s="60">
        <v>59</v>
      </c>
      <c r="J118" s="17" t="s">
        <v>21</v>
      </c>
      <c r="K118" s="22">
        <f t="shared" si="66"/>
        <v>0.61111111111111116</v>
      </c>
      <c r="L118" s="22">
        <f t="shared" si="67"/>
        <v>0.6</v>
      </c>
      <c r="O118" s="21">
        <v>116</v>
      </c>
      <c r="P118" s="7">
        <f t="shared" ca="1" si="89"/>
        <v>0.50980392156862742</v>
      </c>
      <c r="Q118" s="7">
        <f t="shared" ca="1" si="82"/>
        <v>0.49019607843137253</v>
      </c>
      <c r="R118" s="7">
        <f t="shared" ca="1" si="79"/>
        <v>0.66666666666666663</v>
      </c>
      <c r="S118" s="7">
        <f t="shared" ca="1" si="80"/>
        <v>0.33333333333333331</v>
      </c>
    </row>
    <row r="119" spans="1:19" x14ac:dyDescent="0.15">
      <c r="A119" s="60"/>
      <c r="B119" s="21" t="s">
        <v>22</v>
      </c>
      <c r="C119" s="21">
        <f>[58]PARS_cds_stat!B119</f>
        <v>21</v>
      </c>
      <c r="D119" s="21">
        <f>[58]PARS_cds_stat!C119</f>
        <v>14</v>
      </c>
      <c r="E119" s="22">
        <f t="shared" ref="E119:F119" si="124">C119/(C118+C119)</f>
        <v>0.3888888888888889</v>
      </c>
      <c r="F119" s="22">
        <f t="shared" si="124"/>
        <v>0.4</v>
      </c>
      <c r="I119" s="60"/>
      <c r="J119" s="17" t="s">
        <v>22</v>
      </c>
      <c r="K119" s="22">
        <f t="shared" si="66"/>
        <v>0.3888888888888889</v>
      </c>
      <c r="L119" s="22">
        <f t="shared" si="67"/>
        <v>0.4</v>
      </c>
      <c r="O119" s="21">
        <v>117</v>
      </c>
      <c r="P119" s="7">
        <f t="shared" ca="1" si="89"/>
        <v>0.63291139240506333</v>
      </c>
      <c r="Q119" s="7">
        <f t="shared" ca="1" si="82"/>
        <v>0.36708860759493672</v>
      </c>
      <c r="R119" s="7">
        <f t="shared" ca="1" si="79"/>
        <v>0.54716981132075471</v>
      </c>
      <c r="S119" s="7">
        <f t="shared" ca="1" si="80"/>
        <v>0.45283018867924529</v>
      </c>
    </row>
    <row r="120" spans="1:19" x14ac:dyDescent="0.15">
      <c r="A120" s="60">
        <v>60</v>
      </c>
      <c r="B120" s="21" t="s">
        <v>21</v>
      </c>
      <c r="C120" s="21">
        <f>[58]PARS_cds_stat!B120</f>
        <v>31</v>
      </c>
      <c r="D120" s="21">
        <f>[58]PARS_cds_stat!C120</f>
        <v>23</v>
      </c>
      <c r="E120" s="22">
        <f t="shared" ref="E120:F120" si="125">C120/(C120+C121)</f>
        <v>0.64583333333333337</v>
      </c>
      <c r="F120" s="22">
        <f t="shared" si="125"/>
        <v>0.57499999999999996</v>
      </c>
      <c r="I120" s="60">
        <v>60</v>
      </c>
      <c r="J120" s="17" t="s">
        <v>21</v>
      </c>
      <c r="K120" s="22">
        <f t="shared" si="66"/>
        <v>0.64583333333333337</v>
      </c>
      <c r="L120" s="22">
        <f t="shared" si="67"/>
        <v>0.57499999999999996</v>
      </c>
      <c r="O120" s="21">
        <v>118</v>
      </c>
      <c r="P120" s="7">
        <f t="shared" ca="1" si="89"/>
        <v>0.65263157894736845</v>
      </c>
      <c r="Q120" s="7">
        <f t="shared" ca="1" si="82"/>
        <v>0.3473684210526316</v>
      </c>
      <c r="R120" s="7">
        <f t="shared" ca="1" si="79"/>
        <v>0.59649122807017541</v>
      </c>
      <c r="S120" s="7">
        <f t="shared" ca="1" si="80"/>
        <v>0.40350877192982454</v>
      </c>
    </row>
    <row r="121" spans="1:19" x14ac:dyDescent="0.15">
      <c r="A121" s="60"/>
      <c r="B121" s="21" t="s">
        <v>22</v>
      </c>
      <c r="C121" s="21">
        <f>[58]PARS_cds_stat!B121</f>
        <v>17</v>
      </c>
      <c r="D121" s="21">
        <f>[58]PARS_cds_stat!C121</f>
        <v>17</v>
      </c>
      <c r="E121" s="22">
        <f t="shared" ref="E121:F121" si="126">C121/(C120+C121)</f>
        <v>0.35416666666666669</v>
      </c>
      <c r="F121" s="22">
        <f t="shared" si="126"/>
        <v>0.42499999999999999</v>
      </c>
      <c r="I121" s="60"/>
      <c r="J121" s="17" t="s">
        <v>22</v>
      </c>
      <c r="K121" s="22">
        <f t="shared" si="66"/>
        <v>0.35416666666666669</v>
      </c>
      <c r="L121" s="22">
        <f t="shared" si="67"/>
        <v>0.42499999999999999</v>
      </c>
      <c r="O121" s="21">
        <v>119</v>
      </c>
      <c r="P121" s="7">
        <f t="shared" ca="1" si="89"/>
        <v>0.65714285714285714</v>
      </c>
      <c r="Q121" s="7">
        <f t="shared" ca="1" si="82"/>
        <v>0.34285714285714286</v>
      </c>
      <c r="R121" s="7">
        <f t="shared" ca="1" si="79"/>
        <v>0.5423728813559322</v>
      </c>
      <c r="S121" s="7">
        <f t="shared" ca="1" si="80"/>
        <v>0.4576271186440678</v>
      </c>
    </row>
    <row r="122" spans="1:19" x14ac:dyDescent="0.15">
      <c r="A122" s="60">
        <v>61</v>
      </c>
      <c r="B122" s="21" t="s">
        <v>21</v>
      </c>
      <c r="C122" s="21">
        <f>[58]PARS_cds_stat!B122</f>
        <v>24</v>
      </c>
      <c r="D122" s="21">
        <f>[58]PARS_cds_stat!C122</f>
        <v>17</v>
      </c>
      <c r="E122" s="22">
        <f t="shared" ref="E122:F122" si="127">C122/(C122+C123)</f>
        <v>0.48979591836734693</v>
      </c>
      <c r="F122" s="22">
        <f t="shared" si="127"/>
        <v>0.44736842105263158</v>
      </c>
      <c r="I122" s="60">
        <v>61</v>
      </c>
      <c r="J122" s="17" t="s">
        <v>21</v>
      </c>
      <c r="K122" s="22">
        <f t="shared" si="66"/>
        <v>0.48979591836734693</v>
      </c>
      <c r="L122" s="22">
        <f t="shared" si="67"/>
        <v>0.44736842105263158</v>
      </c>
      <c r="O122" s="21">
        <v>120</v>
      </c>
      <c r="P122" s="7">
        <f t="shared" ca="1" si="89"/>
        <v>0.6470588235294118</v>
      </c>
      <c r="Q122" s="7">
        <f t="shared" ca="1" si="82"/>
        <v>0.35294117647058826</v>
      </c>
      <c r="R122" s="7">
        <f t="shared" ca="1" si="79"/>
        <v>0.47368421052631576</v>
      </c>
      <c r="S122" s="7">
        <f t="shared" ca="1" si="80"/>
        <v>0.52631578947368418</v>
      </c>
    </row>
    <row r="123" spans="1:19" x14ac:dyDescent="0.15">
      <c r="A123" s="60"/>
      <c r="B123" s="21" t="s">
        <v>22</v>
      </c>
      <c r="C123" s="21">
        <f>[58]PARS_cds_stat!B123</f>
        <v>25</v>
      </c>
      <c r="D123" s="21">
        <f>[58]PARS_cds_stat!C123</f>
        <v>21</v>
      </c>
      <c r="E123" s="22">
        <f t="shared" ref="E123:F123" si="128">C123/(C122+C123)</f>
        <v>0.51020408163265307</v>
      </c>
      <c r="F123" s="22">
        <f t="shared" si="128"/>
        <v>0.55263157894736847</v>
      </c>
      <c r="I123" s="60"/>
      <c r="J123" s="17" t="s">
        <v>22</v>
      </c>
      <c r="K123" s="22">
        <f t="shared" si="66"/>
        <v>0.51020408163265307</v>
      </c>
      <c r="L123" s="22">
        <f t="shared" si="67"/>
        <v>0.55263157894736847</v>
      </c>
      <c r="O123" s="21">
        <v>121</v>
      </c>
      <c r="P123" s="7">
        <f t="shared" ca="1" si="89"/>
        <v>0.63636363636363635</v>
      </c>
      <c r="Q123" s="7">
        <f t="shared" ca="1" si="82"/>
        <v>0.36363636363636365</v>
      </c>
      <c r="R123" s="7">
        <f t="shared" ca="1" si="79"/>
        <v>0.5490196078431373</v>
      </c>
      <c r="S123" s="7">
        <f t="shared" ca="1" si="80"/>
        <v>0.45098039215686275</v>
      </c>
    </row>
    <row r="124" spans="1:19" x14ac:dyDescent="0.15">
      <c r="A124" s="60">
        <v>62</v>
      </c>
      <c r="B124" s="21" t="s">
        <v>21</v>
      </c>
      <c r="C124" s="21">
        <f>[58]PARS_cds_stat!B124</f>
        <v>38</v>
      </c>
      <c r="D124" s="21">
        <f>[58]PARS_cds_stat!C124</f>
        <v>21</v>
      </c>
      <c r="E124" s="22">
        <f t="shared" ref="E124:F124" si="129">C124/(C124+C125)</f>
        <v>0.69090909090909092</v>
      </c>
      <c r="F124" s="22">
        <f t="shared" si="129"/>
        <v>0.51219512195121952</v>
      </c>
      <c r="I124" s="60">
        <v>62</v>
      </c>
      <c r="J124" s="17" t="s">
        <v>21</v>
      </c>
      <c r="K124" s="22">
        <f t="shared" si="66"/>
        <v>0.69090909090909092</v>
      </c>
      <c r="L124" s="22">
        <f t="shared" si="67"/>
        <v>0.51219512195121952</v>
      </c>
      <c r="O124" s="21">
        <v>122</v>
      </c>
      <c r="P124" s="7">
        <f t="shared" ca="1" si="89"/>
        <v>0.68548387096774188</v>
      </c>
      <c r="Q124" s="7">
        <f t="shared" ca="1" si="82"/>
        <v>0.31451612903225806</v>
      </c>
      <c r="R124" s="7">
        <f t="shared" ca="1" si="79"/>
        <v>0.54794520547945202</v>
      </c>
      <c r="S124" s="7">
        <f t="shared" ca="1" si="80"/>
        <v>0.45205479452054792</v>
      </c>
    </row>
    <row r="125" spans="1:19" x14ac:dyDescent="0.15">
      <c r="A125" s="60"/>
      <c r="B125" s="21" t="s">
        <v>22</v>
      </c>
      <c r="C125" s="21">
        <f>[58]PARS_cds_stat!B125</f>
        <v>17</v>
      </c>
      <c r="D125" s="21">
        <f>[58]PARS_cds_stat!C125</f>
        <v>20</v>
      </c>
      <c r="E125" s="22">
        <f t="shared" ref="E125:F125" si="130">C125/(C124+C125)</f>
        <v>0.30909090909090908</v>
      </c>
      <c r="F125" s="22">
        <f t="shared" si="130"/>
        <v>0.48780487804878048</v>
      </c>
      <c r="I125" s="60"/>
      <c r="J125" s="17" t="s">
        <v>22</v>
      </c>
      <c r="K125" s="22">
        <f t="shared" si="66"/>
        <v>0.30909090909090908</v>
      </c>
      <c r="L125" s="22">
        <f t="shared" si="67"/>
        <v>0.48780487804878048</v>
      </c>
      <c r="O125" s="21">
        <v>123</v>
      </c>
      <c r="P125" s="7">
        <f t="shared" ca="1" si="89"/>
        <v>0.61739130434782608</v>
      </c>
      <c r="Q125" s="7">
        <f t="shared" ca="1" si="82"/>
        <v>0.38260869565217392</v>
      </c>
      <c r="R125" s="7">
        <f t="shared" ca="1" si="79"/>
        <v>0.44444444444444442</v>
      </c>
      <c r="S125" s="7">
        <f t="shared" ca="1" si="80"/>
        <v>0.55555555555555558</v>
      </c>
    </row>
    <row r="126" spans="1:19" x14ac:dyDescent="0.15">
      <c r="A126" s="60">
        <v>63</v>
      </c>
      <c r="B126" s="21" t="s">
        <v>21</v>
      </c>
      <c r="C126" s="21">
        <f>[58]PARS_cds_stat!B126</f>
        <v>22</v>
      </c>
      <c r="D126" s="21">
        <f>[58]PARS_cds_stat!C126</f>
        <v>29</v>
      </c>
      <c r="E126" s="22">
        <f t="shared" ref="E126:F126" si="131">C126/(C126+C127)</f>
        <v>0.55000000000000004</v>
      </c>
      <c r="F126" s="22">
        <f t="shared" si="131"/>
        <v>0.63043478260869568</v>
      </c>
      <c r="I126" s="60">
        <v>63</v>
      </c>
      <c r="J126" s="17" t="s">
        <v>21</v>
      </c>
      <c r="K126" s="22">
        <f t="shared" si="66"/>
        <v>0.55000000000000004</v>
      </c>
      <c r="L126" s="22">
        <f t="shared" si="67"/>
        <v>0.63043478260869568</v>
      </c>
      <c r="O126" s="21">
        <v>124</v>
      </c>
      <c r="P126" s="7">
        <f t="shared" ca="1" si="89"/>
        <v>0.66225165562913912</v>
      </c>
      <c r="Q126" s="7">
        <f t="shared" ca="1" si="82"/>
        <v>0.33774834437086093</v>
      </c>
      <c r="R126" s="7">
        <f t="shared" ca="1" si="79"/>
        <v>0.6875</v>
      </c>
      <c r="S126" s="7">
        <f t="shared" ca="1" si="80"/>
        <v>0.3125</v>
      </c>
    </row>
    <row r="127" spans="1:19" x14ac:dyDescent="0.15">
      <c r="A127" s="60"/>
      <c r="B127" s="21" t="s">
        <v>22</v>
      </c>
      <c r="C127" s="21">
        <f>[58]PARS_cds_stat!B127</f>
        <v>18</v>
      </c>
      <c r="D127" s="21">
        <f>[58]PARS_cds_stat!C127</f>
        <v>17</v>
      </c>
      <c r="E127" s="22">
        <f t="shared" ref="E127:F127" si="132">C127/(C126+C127)</f>
        <v>0.45</v>
      </c>
      <c r="F127" s="22">
        <f t="shared" si="132"/>
        <v>0.36956521739130432</v>
      </c>
      <c r="I127" s="60"/>
      <c r="J127" s="17" t="s">
        <v>22</v>
      </c>
      <c r="K127" s="22">
        <f t="shared" si="66"/>
        <v>0.45</v>
      </c>
      <c r="L127" s="22">
        <f t="shared" si="67"/>
        <v>0.36956521739130432</v>
      </c>
      <c r="O127" s="21">
        <v>125</v>
      </c>
      <c r="P127" s="7">
        <f t="shared" ca="1" si="89"/>
        <v>0.59825327510917026</v>
      </c>
      <c r="Q127" s="7">
        <f t="shared" ca="1" si="82"/>
        <v>0.40174672489082969</v>
      </c>
      <c r="R127" s="7">
        <f t="shared" ca="1" si="79"/>
        <v>0.56028368794326244</v>
      </c>
      <c r="S127" s="7">
        <f t="shared" ca="1" si="80"/>
        <v>0.43971631205673761</v>
      </c>
    </row>
    <row r="128" spans="1:19" x14ac:dyDescent="0.15">
      <c r="A128" s="60">
        <v>64</v>
      </c>
      <c r="B128" s="21" t="s">
        <v>21</v>
      </c>
      <c r="C128" s="21">
        <f>[58]PARS_cds_stat!B128</f>
        <v>36</v>
      </c>
      <c r="D128" s="21">
        <f>[58]PARS_cds_stat!C128</f>
        <v>29</v>
      </c>
      <c r="E128" s="22">
        <f t="shared" ref="E128:F128" si="133">C128/(C128+C129)</f>
        <v>0.73469387755102045</v>
      </c>
      <c r="F128" s="22">
        <f t="shared" si="133"/>
        <v>0.59183673469387754</v>
      </c>
      <c r="I128" s="60">
        <v>64</v>
      </c>
      <c r="J128" s="17" t="s">
        <v>21</v>
      </c>
      <c r="K128" s="22">
        <f t="shared" si="66"/>
        <v>0.73469387755102045</v>
      </c>
      <c r="L128" s="22">
        <f t="shared" si="67"/>
        <v>0.59183673469387754</v>
      </c>
      <c r="O128" s="21">
        <v>126</v>
      </c>
      <c r="P128" s="7">
        <f t="shared" ca="1" si="89"/>
        <v>0.64312267657992561</v>
      </c>
      <c r="Q128" s="7">
        <f t="shared" ca="1" si="82"/>
        <v>0.35687732342007433</v>
      </c>
      <c r="R128" s="7">
        <f t="shared" ca="1" si="79"/>
        <v>0.5178571428571429</v>
      </c>
      <c r="S128" s="7">
        <f t="shared" ca="1" si="80"/>
        <v>0.48214285714285715</v>
      </c>
    </row>
    <row r="129" spans="1:19" x14ac:dyDescent="0.15">
      <c r="A129" s="60"/>
      <c r="B129" s="21" t="s">
        <v>22</v>
      </c>
      <c r="C129" s="21">
        <f>[58]PARS_cds_stat!B129</f>
        <v>13</v>
      </c>
      <c r="D129" s="21">
        <f>[58]PARS_cds_stat!C129</f>
        <v>20</v>
      </c>
      <c r="E129" s="22">
        <f t="shared" ref="E129:F129" si="134">C129/(C128+C129)</f>
        <v>0.26530612244897961</v>
      </c>
      <c r="F129" s="22">
        <f t="shared" si="134"/>
        <v>0.40816326530612246</v>
      </c>
      <c r="I129" s="60"/>
      <c r="J129" s="17" t="s">
        <v>22</v>
      </c>
      <c r="K129" s="22">
        <f t="shared" si="66"/>
        <v>0.26530612244897961</v>
      </c>
      <c r="L129" s="22">
        <f t="shared" si="67"/>
        <v>0.40816326530612246</v>
      </c>
      <c r="O129" s="21">
        <v>127</v>
      </c>
      <c r="P129" s="7">
        <f t="shared" ca="1" si="89"/>
        <v>0.64359351988217972</v>
      </c>
      <c r="Q129" s="7">
        <f t="shared" ca="1" si="82"/>
        <v>0.35640648011782033</v>
      </c>
      <c r="R129" s="7">
        <f t="shared" ca="1" si="79"/>
        <v>0.57246376811594202</v>
      </c>
      <c r="S129" s="7">
        <f t="shared" ca="1" si="80"/>
        <v>0.42753623188405798</v>
      </c>
    </row>
    <row r="130" spans="1:19" x14ac:dyDescent="0.15">
      <c r="A130" s="60">
        <v>65</v>
      </c>
      <c r="B130" s="21" t="s">
        <v>21</v>
      </c>
      <c r="C130" s="21">
        <f>[58]PARS_cds_stat!B130</f>
        <v>42</v>
      </c>
      <c r="D130" s="21">
        <f>[58]PARS_cds_stat!C130</f>
        <v>25</v>
      </c>
      <c r="E130" s="22">
        <f t="shared" ref="E130:F130" si="135">C130/(C130+C131)</f>
        <v>0.7</v>
      </c>
      <c r="F130" s="22">
        <f t="shared" si="135"/>
        <v>0.53191489361702127</v>
      </c>
      <c r="I130" s="60">
        <v>65</v>
      </c>
      <c r="J130" s="17" t="s">
        <v>21</v>
      </c>
      <c r="K130" s="22">
        <f t="shared" ref="K130:K193" si="136">E130</f>
        <v>0.7</v>
      </c>
      <c r="L130" s="22">
        <f t="shared" ref="L130:L193" si="137">F130</f>
        <v>0.53191489361702127</v>
      </c>
      <c r="O130"/>
      <c r="P130"/>
      <c r="Q130"/>
      <c r="R130"/>
      <c r="S130"/>
    </row>
    <row r="131" spans="1:19" x14ac:dyDescent="0.15">
      <c r="A131" s="60"/>
      <c r="B131" s="21" t="s">
        <v>22</v>
      </c>
      <c r="C131" s="21">
        <f>[58]PARS_cds_stat!B131</f>
        <v>18</v>
      </c>
      <c r="D131" s="21">
        <f>[58]PARS_cds_stat!C131</f>
        <v>22</v>
      </c>
      <c r="E131" s="22">
        <f t="shared" ref="E131:F131" si="138">C131/(C130+C131)</f>
        <v>0.3</v>
      </c>
      <c r="F131" s="22">
        <f t="shared" si="138"/>
        <v>0.46808510638297873</v>
      </c>
      <c r="I131" s="60"/>
      <c r="J131" s="17" t="s">
        <v>22</v>
      </c>
      <c r="K131" s="22">
        <f t="shared" si="136"/>
        <v>0.3</v>
      </c>
      <c r="L131" s="22">
        <f t="shared" si="137"/>
        <v>0.46808510638297873</v>
      </c>
      <c r="O131"/>
      <c r="P131"/>
      <c r="Q131"/>
      <c r="R131"/>
      <c r="S131"/>
    </row>
    <row r="132" spans="1:19" x14ac:dyDescent="0.15">
      <c r="A132" s="60">
        <v>66</v>
      </c>
      <c r="B132" s="21" t="s">
        <v>21</v>
      </c>
      <c r="C132" s="21">
        <f>[58]PARS_cds_stat!B132</f>
        <v>25</v>
      </c>
      <c r="D132" s="21">
        <f>[58]PARS_cds_stat!C132</f>
        <v>16</v>
      </c>
      <c r="E132" s="22">
        <f t="shared" ref="E132:F132" si="139">C132/(C132+C133)</f>
        <v>0.58139534883720934</v>
      </c>
      <c r="F132" s="22">
        <f t="shared" si="139"/>
        <v>0.42105263157894735</v>
      </c>
      <c r="I132" s="60">
        <v>66</v>
      </c>
      <c r="J132" s="17" t="s">
        <v>21</v>
      </c>
      <c r="K132" s="22">
        <f t="shared" si="136"/>
        <v>0.58139534883720934</v>
      </c>
      <c r="L132" s="22">
        <f t="shared" si="137"/>
        <v>0.42105263157894735</v>
      </c>
      <c r="O132"/>
      <c r="P132"/>
      <c r="Q132"/>
      <c r="R132"/>
      <c r="S132"/>
    </row>
    <row r="133" spans="1:19" x14ac:dyDescent="0.15">
      <c r="A133" s="60"/>
      <c r="B133" s="21" t="s">
        <v>22</v>
      </c>
      <c r="C133" s="21">
        <f>[58]PARS_cds_stat!B133</f>
        <v>18</v>
      </c>
      <c r="D133" s="21">
        <f>[58]PARS_cds_stat!C133</f>
        <v>22</v>
      </c>
      <c r="E133" s="22">
        <f t="shared" ref="E133:F133" si="140">C133/(C132+C133)</f>
        <v>0.41860465116279072</v>
      </c>
      <c r="F133" s="22">
        <f t="shared" si="140"/>
        <v>0.57894736842105265</v>
      </c>
      <c r="I133" s="60"/>
      <c r="J133" s="17" t="s">
        <v>22</v>
      </c>
      <c r="K133" s="22">
        <f t="shared" si="136"/>
        <v>0.41860465116279072</v>
      </c>
      <c r="L133" s="22">
        <f t="shared" si="137"/>
        <v>0.57894736842105265</v>
      </c>
      <c r="O133"/>
      <c r="P133"/>
      <c r="Q133"/>
      <c r="R133"/>
      <c r="S133"/>
    </row>
    <row r="134" spans="1:19" x14ac:dyDescent="0.15">
      <c r="A134" s="60">
        <v>67</v>
      </c>
      <c r="B134" s="21" t="s">
        <v>21</v>
      </c>
      <c r="C134" s="21">
        <f>[58]PARS_cds_stat!B134</f>
        <v>29</v>
      </c>
      <c r="D134" s="21">
        <f>[58]PARS_cds_stat!C134</f>
        <v>22</v>
      </c>
      <c r="E134" s="22">
        <f t="shared" ref="E134:F134" si="141">C134/(C134+C135)</f>
        <v>0.54716981132075471</v>
      </c>
      <c r="F134" s="22">
        <f t="shared" si="141"/>
        <v>0.52380952380952384</v>
      </c>
      <c r="I134" s="60">
        <v>67</v>
      </c>
      <c r="J134" s="17" t="s">
        <v>21</v>
      </c>
      <c r="K134" s="22">
        <f t="shared" si="136"/>
        <v>0.54716981132075471</v>
      </c>
      <c r="L134" s="22">
        <f t="shared" si="137"/>
        <v>0.52380952380952384</v>
      </c>
      <c r="O134"/>
      <c r="P134"/>
      <c r="Q134"/>
      <c r="R134"/>
      <c r="S134"/>
    </row>
    <row r="135" spans="1:19" x14ac:dyDescent="0.15">
      <c r="A135" s="60"/>
      <c r="B135" s="21" t="s">
        <v>22</v>
      </c>
      <c r="C135" s="21">
        <f>[58]PARS_cds_stat!B135</f>
        <v>24</v>
      </c>
      <c r="D135" s="21">
        <f>[58]PARS_cds_stat!C135</f>
        <v>20</v>
      </c>
      <c r="E135" s="22">
        <f t="shared" ref="E135:F135" si="142">C135/(C134+C135)</f>
        <v>0.45283018867924529</v>
      </c>
      <c r="F135" s="22">
        <f t="shared" si="142"/>
        <v>0.47619047619047616</v>
      </c>
      <c r="I135" s="60"/>
      <c r="J135" s="17" t="s">
        <v>22</v>
      </c>
      <c r="K135" s="22">
        <f t="shared" si="136"/>
        <v>0.45283018867924529</v>
      </c>
      <c r="L135" s="22">
        <f t="shared" si="137"/>
        <v>0.47619047619047616</v>
      </c>
      <c r="P135" s="24"/>
      <c r="Q135" s="24"/>
      <c r="R135" s="24"/>
      <c r="S135" s="24"/>
    </row>
    <row r="136" spans="1:19" x14ac:dyDescent="0.15">
      <c r="A136" s="60">
        <v>68</v>
      </c>
      <c r="B136" s="21" t="s">
        <v>21</v>
      </c>
      <c r="C136" s="21">
        <f>[58]PARS_cds_stat!B136</f>
        <v>24</v>
      </c>
      <c r="D136" s="21">
        <f>[58]PARS_cds_stat!C136</f>
        <v>19</v>
      </c>
      <c r="E136" s="22">
        <f t="shared" ref="E136:F136" si="143">C136/(C136+C137)</f>
        <v>0.54545454545454541</v>
      </c>
      <c r="F136" s="22">
        <f t="shared" si="143"/>
        <v>0.55882352941176472</v>
      </c>
      <c r="I136" s="60">
        <v>68</v>
      </c>
      <c r="J136" s="17" t="s">
        <v>21</v>
      </c>
      <c r="K136" s="22">
        <f t="shared" si="136"/>
        <v>0.54545454545454541</v>
      </c>
      <c r="L136" s="22">
        <f t="shared" si="137"/>
        <v>0.55882352941176472</v>
      </c>
      <c r="P136" s="24"/>
      <c r="Q136" s="24"/>
      <c r="R136" s="24"/>
      <c r="S136" s="24"/>
    </row>
    <row r="137" spans="1:19" x14ac:dyDescent="0.15">
      <c r="A137" s="60"/>
      <c r="B137" s="21" t="s">
        <v>22</v>
      </c>
      <c r="C137" s="21">
        <f>[58]PARS_cds_stat!B137</f>
        <v>20</v>
      </c>
      <c r="D137" s="21">
        <f>[58]PARS_cds_stat!C137</f>
        <v>15</v>
      </c>
      <c r="E137" s="22">
        <f t="shared" ref="E137:F137" si="144">C137/(C136+C137)</f>
        <v>0.45454545454545453</v>
      </c>
      <c r="F137" s="22">
        <f t="shared" si="144"/>
        <v>0.44117647058823528</v>
      </c>
      <c r="I137" s="60"/>
      <c r="J137" s="17" t="s">
        <v>22</v>
      </c>
      <c r="K137" s="22">
        <f t="shared" si="136"/>
        <v>0.45454545454545453</v>
      </c>
      <c r="L137" s="22">
        <f t="shared" si="137"/>
        <v>0.44117647058823528</v>
      </c>
      <c r="P137" s="24"/>
      <c r="Q137" s="24"/>
      <c r="R137" s="24"/>
      <c r="S137" s="24"/>
    </row>
    <row r="138" spans="1:19" x14ac:dyDescent="0.15">
      <c r="A138" s="60">
        <v>69</v>
      </c>
      <c r="B138" s="21" t="s">
        <v>21</v>
      </c>
      <c r="C138" s="21">
        <f>[58]PARS_cds_stat!B138</f>
        <v>34</v>
      </c>
      <c r="D138" s="21">
        <f>[58]PARS_cds_stat!C138</f>
        <v>17</v>
      </c>
      <c r="E138" s="22">
        <f t="shared" ref="E138:F138" si="145">C138/(C138+C139)</f>
        <v>0.68</v>
      </c>
      <c r="F138" s="22">
        <f t="shared" si="145"/>
        <v>0.58620689655172409</v>
      </c>
      <c r="I138" s="60">
        <v>69</v>
      </c>
      <c r="J138" s="17" t="s">
        <v>21</v>
      </c>
      <c r="K138" s="22">
        <f t="shared" si="136"/>
        <v>0.68</v>
      </c>
      <c r="L138" s="22">
        <f t="shared" si="137"/>
        <v>0.58620689655172409</v>
      </c>
      <c r="P138" s="24"/>
      <c r="Q138" s="24"/>
      <c r="R138" s="24"/>
      <c r="S138" s="24"/>
    </row>
    <row r="139" spans="1:19" x14ac:dyDescent="0.15">
      <c r="A139" s="60"/>
      <c r="B139" s="21" t="s">
        <v>22</v>
      </c>
      <c r="C139" s="21">
        <f>[58]PARS_cds_stat!B139</f>
        <v>16</v>
      </c>
      <c r="D139" s="21">
        <f>[58]PARS_cds_stat!C139</f>
        <v>12</v>
      </c>
      <c r="E139" s="22">
        <f t="shared" ref="E139:F139" si="146">C139/(C138+C139)</f>
        <v>0.32</v>
      </c>
      <c r="F139" s="22">
        <f t="shared" si="146"/>
        <v>0.41379310344827586</v>
      </c>
      <c r="I139" s="60"/>
      <c r="J139" s="17" t="s">
        <v>22</v>
      </c>
      <c r="K139" s="22">
        <f t="shared" si="136"/>
        <v>0.32</v>
      </c>
      <c r="L139" s="22">
        <f t="shared" si="137"/>
        <v>0.41379310344827586</v>
      </c>
      <c r="P139" s="24"/>
      <c r="Q139" s="24"/>
      <c r="R139" s="24"/>
      <c r="S139" s="24"/>
    </row>
    <row r="140" spans="1:19" x14ac:dyDescent="0.15">
      <c r="A140" s="60">
        <v>70</v>
      </c>
      <c r="B140" s="21" t="s">
        <v>21</v>
      </c>
      <c r="C140" s="21">
        <f>[58]PARS_cds_stat!B140</f>
        <v>32</v>
      </c>
      <c r="D140" s="21">
        <f>[58]PARS_cds_stat!C140</f>
        <v>21</v>
      </c>
      <c r="E140" s="22">
        <f t="shared" ref="E140:F140" si="147">C140/(C140+C141)</f>
        <v>0.71111111111111114</v>
      </c>
      <c r="F140" s="22">
        <f t="shared" si="147"/>
        <v>0.5</v>
      </c>
      <c r="I140" s="60">
        <v>70</v>
      </c>
      <c r="J140" s="17" t="s">
        <v>21</v>
      </c>
      <c r="K140" s="22">
        <f t="shared" si="136"/>
        <v>0.71111111111111114</v>
      </c>
      <c r="L140" s="22">
        <f t="shared" si="137"/>
        <v>0.5</v>
      </c>
      <c r="P140" s="24"/>
      <c r="Q140" s="24"/>
      <c r="R140" s="24"/>
      <c r="S140" s="24"/>
    </row>
    <row r="141" spans="1:19" x14ac:dyDescent="0.15">
      <c r="A141" s="60"/>
      <c r="B141" s="21" t="s">
        <v>22</v>
      </c>
      <c r="C141" s="21">
        <f>[58]PARS_cds_stat!B141</f>
        <v>13</v>
      </c>
      <c r="D141" s="21">
        <f>[58]PARS_cds_stat!C141</f>
        <v>21</v>
      </c>
      <c r="E141" s="22">
        <f t="shared" ref="E141:F141" si="148">C141/(C140+C141)</f>
        <v>0.28888888888888886</v>
      </c>
      <c r="F141" s="22">
        <f t="shared" si="148"/>
        <v>0.5</v>
      </c>
      <c r="I141" s="60"/>
      <c r="J141" s="17" t="s">
        <v>22</v>
      </c>
      <c r="K141" s="22">
        <f t="shared" si="136"/>
        <v>0.28888888888888886</v>
      </c>
      <c r="L141" s="22">
        <f t="shared" si="137"/>
        <v>0.5</v>
      </c>
      <c r="P141" s="24"/>
      <c r="Q141" s="24"/>
      <c r="R141" s="24"/>
      <c r="S141" s="24"/>
    </row>
    <row r="142" spans="1:19" x14ac:dyDescent="0.15">
      <c r="A142" s="60">
        <v>71</v>
      </c>
      <c r="B142" s="21" t="s">
        <v>21</v>
      </c>
      <c r="C142" s="21">
        <f>[58]PARS_cds_stat!B142</f>
        <v>28</v>
      </c>
      <c r="D142" s="21">
        <f>[58]PARS_cds_stat!C142</f>
        <v>15</v>
      </c>
      <c r="E142" s="22">
        <f t="shared" ref="E142:F142" si="149">C142/(C142+C143)</f>
        <v>0.65116279069767447</v>
      </c>
      <c r="F142" s="22">
        <f t="shared" si="149"/>
        <v>0.4838709677419355</v>
      </c>
      <c r="I142" s="60">
        <v>71</v>
      </c>
      <c r="J142" s="17" t="s">
        <v>21</v>
      </c>
      <c r="K142" s="22">
        <f t="shared" si="136"/>
        <v>0.65116279069767447</v>
      </c>
      <c r="L142" s="22">
        <f t="shared" si="137"/>
        <v>0.4838709677419355</v>
      </c>
      <c r="P142" s="24"/>
      <c r="Q142" s="24"/>
      <c r="R142" s="24"/>
      <c r="S142" s="24"/>
    </row>
    <row r="143" spans="1:19" x14ac:dyDescent="0.15">
      <c r="A143" s="60"/>
      <c r="B143" s="21" t="s">
        <v>22</v>
      </c>
      <c r="C143" s="21">
        <f>[58]PARS_cds_stat!B143</f>
        <v>15</v>
      </c>
      <c r="D143" s="21">
        <f>[58]PARS_cds_stat!C143</f>
        <v>16</v>
      </c>
      <c r="E143" s="22">
        <f t="shared" ref="E143:F143" si="150">C143/(C142+C143)</f>
        <v>0.34883720930232559</v>
      </c>
      <c r="F143" s="22">
        <f t="shared" si="150"/>
        <v>0.5161290322580645</v>
      </c>
      <c r="I143" s="60"/>
      <c r="J143" s="17" t="s">
        <v>22</v>
      </c>
      <c r="K143" s="22">
        <f t="shared" si="136"/>
        <v>0.34883720930232559</v>
      </c>
      <c r="L143" s="22">
        <f t="shared" si="137"/>
        <v>0.5161290322580645</v>
      </c>
      <c r="P143" s="24"/>
      <c r="Q143" s="24"/>
      <c r="R143" s="24"/>
      <c r="S143" s="24"/>
    </row>
    <row r="144" spans="1:19" x14ac:dyDescent="0.15">
      <c r="A144" s="60">
        <v>72</v>
      </c>
      <c r="B144" s="21" t="s">
        <v>21</v>
      </c>
      <c r="C144" s="21">
        <f>[58]PARS_cds_stat!B144</f>
        <v>37</v>
      </c>
      <c r="D144" s="21">
        <f>[58]PARS_cds_stat!C144</f>
        <v>19</v>
      </c>
      <c r="E144" s="22">
        <f t="shared" ref="E144:F144" si="151">C144/(C144+C145)</f>
        <v>0.71153846153846156</v>
      </c>
      <c r="F144" s="22">
        <f t="shared" si="151"/>
        <v>0.51351351351351349</v>
      </c>
      <c r="I144" s="60">
        <v>72</v>
      </c>
      <c r="J144" s="17" t="s">
        <v>21</v>
      </c>
      <c r="K144" s="22">
        <f t="shared" si="136"/>
        <v>0.71153846153846156</v>
      </c>
      <c r="L144" s="22">
        <f t="shared" si="137"/>
        <v>0.51351351351351349</v>
      </c>
      <c r="P144" s="24"/>
      <c r="Q144" s="24"/>
      <c r="R144" s="24"/>
      <c r="S144" s="24"/>
    </row>
    <row r="145" spans="1:19" x14ac:dyDescent="0.15">
      <c r="A145" s="60"/>
      <c r="B145" s="21" t="s">
        <v>22</v>
      </c>
      <c r="C145" s="21">
        <f>[58]PARS_cds_stat!B145</f>
        <v>15</v>
      </c>
      <c r="D145" s="21">
        <f>[58]PARS_cds_stat!C145</f>
        <v>18</v>
      </c>
      <c r="E145" s="22">
        <f t="shared" ref="E145:F145" si="152">C145/(C144+C145)</f>
        <v>0.28846153846153844</v>
      </c>
      <c r="F145" s="22">
        <f t="shared" si="152"/>
        <v>0.48648648648648651</v>
      </c>
      <c r="I145" s="60"/>
      <c r="J145" s="17" t="s">
        <v>22</v>
      </c>
      <c r="K145" s="22">
        <f t="shared" si="136"/>
        <v>0.28846153846153844</v>
      </c>
      <c r="L145" s="22">
        <f t="shared" si="137"/>
        <v>0.48648648648648651</v>
      </c>
      <c r="P145" s="24"/>
      <c r="Q145" s="24"/>
      <c r="R145" s="24"/>
      <c r="S145" s="24"/>
    </row>
    <row r="146" spans="1:19" x14ac:dyDescent="0.15">
      <c r="A146" s="60">
        <v>73</v>
      </c>
      <c r="B146" s="21" t="s">
        <v>21</v>
      </c>
      <c r="C146" s="21">
        <f>[58]PARS_cds_stat!B146</f>
        <v>28</v>
      </c>
      <c r="D146" s="21">
        <f>[58]PARS_cds_stat!C146</f>
        <v>23</v>
      </c>
      <c r="E146" s="22">
        <f t="shared" ref="E146:F146" si="153">C146/(C146+C147)</f>
        <v>0.52830188679245282</v>
      </c>
      <c r="F146" s="22">
        <f t="shared" si="153"/>
        <v>0.5</v>
      </c>
      <c r="I146" s="60">
        <v>73</v>
      </c>
      <c r="J146" s="17" t="s">
        <v>21</v>
      </c>
      <c r="K146" s="22">
        <f t="shared" si="136"/>
        <v>0.52830188679245282</v>
      </c>
      <c r="L146" s="22">
        <f t="shared" si="137"/>
        <v>0.5</v>
      </c>
      <c r="P146" s="24"/>
      <c r="Q146" s="24"/>
      <c r="R146" s="24"/>
      <c r="S146" s="24"/>
    </row>
    <row r="147" spans="1:19" x14ac:dyDescent="0.15">
      <c r="A147" s="60"/>
      <c r="B147" s="21" t="s">
        <v>22</v>
      </c>
      <c r="C147" s="21">
        <f>[58]PARS_cds_stat!B147</f>
        <v>25</v>
      </c>
      <c r="D147" s="21">
        <f>[58]PARS_cds_stat!C147</f>
        <v>23</v>
      </c>
      <c r="E147" s="22">
        <f t="shared" ref="E147:F147" si="154">C147/(C146+C147)</f>
        <v>0.47169811320754718</v>
      </c>
      <c r="F147" s="22">
        <f t="shared" si="154"/>
        <v>0.5</v>
      </c>
      <c r="I147" s="60"/>
      <c r="J147" s="17" t="s">
        <v>22</v>
      </c>
      <c r="K147" s="22">
        <f t="shared" si="136"/>
        <v>0.47169811320754718</v>
      </c>
      <c r="L147" s="22">
        <f t="shared" si="137"/>
        <v>0.5</v>
      </c>
      <c r="P147" s="24"/>
      <c r="Q147" s="24"/>
      <c r="R147" s="24"/>
      <c r="S147" s="24"/>
    </row>
    <row r="148" spans="1:19" x14ac:dyDescent="0.15">
      <c r="A148" s="60">
        <v>74</v>
      </c>
      <c r="B148" s="21" t="s">
        <v>21</v>
      </c>
      <c r="C148" s="21">
        <f>[58]PARS_cds_stat!B148</f>
        <v>26</v>
      </c>
      <c r="D148" s="21">
        <f>[58]PARS_cds_stat!C148</f>
        <v>29</v>
      </c>
      <c r="E148" s="22">
        <f t="shared" ref="E148:F148" si="155">C148/(C148+C149)</f>
        <v>0.59090909090909094</v>
      </c>
      <c r="F148" s="22">
        <f t="shared" si="155"/>
        <v>0.72499999999999998</v>
      </c>
      <c r="I148" s="60">
        <v>74</v>
      </c>
      <c r="J148" s="17" t="s">
        <v>21</v>
      </c>
      <c r="K148" s="22">
        <f t="shared" si="136"/>
        <v>0.59090909090909094</v>
      </c>
      <c r="L148" s="22">
        <f t="shared" si="137"/>
        <v>0.72499999999999998</v>
      </c>
      <c r="P148" s="24"/>
      <c r="Q148" s="24"/>
      <c r="R148" s="24"/>
      <c r="S148" s="24"/>
    </row>
    <row r="149" spans="1:19" x14ac:dyDescent="0.15">
      <c r="A149" s="60"/>
      <c r="B149" s="21" t="s">
        <v>22</v>
      </c>
      <c r="C149" s="21">
        <f>[58]PARS_cds_stat!B149</f>
        <v>18</v>
      </c>
      <c r="D149" s="21">
        <f>[58]PARS_cds_stat!C149</f>
        <v>11</v>
      </c>
      <c r="E149" s="22">
        <f t="shared" ref="E149:F149" si="156">C149/(C148+C149)</f>
        <v>0.40909090909090912</v>
      </c>
      <c r="F149" s="22">
        <f t="shared" si="156"/>
        <v>0.27500000000000002</v>
      </c>
      <c r="I149" s="60"/>
      <c r="J149" s="17" t="s">
        <v>22</v>
      </c>
      <c r="K149" s="22">
        <f t="shared" si="136"/>
        <v>0.40909090909090912</v>
      </c>
      <c r="L149" s="22">
        <f t="shared" si="137"/>
        <v>0.27500000000000002</v>
      </c>
      <c r="P149" s="24"/>
      <c r="Q149" s="24"/>
      <c r="R149" s="24"/>
      <c r="S149" s="24"/>
    </row>
    <row r="150" spans="1:19" x14ac:dyDescent="0.15">
      <c r="A150" s="60">
        <v>75</v>
      </c>
      <c r="B150" s="21" t="s">
        <v>21</v>
      </c>
      <c r="C150" s="21">
        <f>[58]PARS_cds_stat!B150</f>
        <v>30</v>
      </c>
      <c r="D150" s="21">
        <f>[58]PARS_cds_stat!C150</f>
        <v>28</v>
      </c>
      <c r="E150" s="22">
        <f t="shared" ref="E150:F150" si="157">C150/(C150+C151)</f>
        <v>0.5</v>
      </c>
      <c r="F150" s="22">
        <f t="shared" si="157"/>
        <v>0.58333333333333337</v>
      </c>
      <c r="I150" s="60">
        <v>75</v>
      </c>
      <c r="J150" s="17" t="s">
        <v>21</v>
      </c>
      <c r="K150" s="22">
        <f t="shared" si="136"/>
        <v>0.5</v>
      </c>
      <c r="L150" s="22">
        <f t="shared" si="137"/>
        <v>0.58333333333333337</v>
      </c>
      <c r="P150" s="24"/>
      <c r="Q150" s="24"/>
      <c r="R150" s="24"/>
      <c r="S150" s="24"/>
    </row>
    <row r="151" spans="1:19" x14ac:dyDescent="0.15">
      <c r="A151" s="60"/>
      <c r="B151" s="21" t="s">
        <v>22</v>
      </c>
      <c r="C151" s="21">
        <f>[58]PARS_cds_stat!B151</f>
        <v>30</v>
      </c>
      <c r="D151" s="21">
        <f>[58]PARS_cds_stat!C151</f>
        <v>20</v>
      </c>
      <c r="E151" s="22">
        <f t="shared" ref="E151:F151" si="158">C151/(C150+C151)</f>
        <v>0.5</v>
      </c>
      <c r="F151" s="22">
        <f t="shared" si="158"/>
        <v>0.41666666666666669</v>
      </c>
      <c r="I151" s="60"/>
      <c r="J151" s="17" t="s">
        <v>22</v>
      </c>
      <c r="K151" s="22">
        <f t="shared" si="136"/>
        <v>0.5</v>
      </c>
      <c r="L151" s="22">
        <f t="shared" si="137"/>
        <v>0.41666666666666669</v>
      </c>
      <c r="P151" s="24"/>
      <c r="Q151" s="24"/>
      <c r="R151" s="24"/>
      <c r="S151" s="24"/>
    </row>
    <row r="152" spans="1:19" x14ac:dyDescent="0.15">
      <c r="A152" s="60">
        <v>76</v>
      </c>
      <c r="B152" s="21" t="s">
        <v>21</v>
      </c>
      <c r="C152" s="21">
        <f>[58]PARS_cds_stat!B152</f>
        <v>30</v>
      </c>
      <c r="D152" s="21">
        <f>[58]PARS_cds_stat!C152</f>
        <v>15</v>
      </c>
      <c r="E152" s="22">
        <f t="shared" ref="E152:F152" si="159">C152/(C152+C153)</f>
        <v>0.56603773584905659</v>
      </c>
      <c r="F152" s="22">
        <f t="shared" si="159"/>
        <v>0.46875</v>
      </c>
      <c r="I152" s="60">
        <v>76</v>
      </c>
      <c r="J152" s="17" t="s">
        <v>21</v>
      </c>
      <c r="K152" s="22">
        <f t="shared" si="136"/>
        <v>0.56603773584905659</v>
      </c>
      <c r="L152" s="22">
        <f t="shared" si="137"/>
        <v>0.46875</v>
      </c>
      <c r="P152" s="24"/>
      <c r="Q152" s="24"/>
      <c r="R152" s="24"/>
      <c r="S152" s="24"/>
    </row>
    <row r="153" spans="1:19" x14ac:dyDescent="0.15">
      <c r="A153" s="60"/>
      <c r="B153" s="21" t="s">
        <v>22</v>
      </c>
      <c r="C153" s="21">
        <f>[58]PARS_cds_stat!B153</f>
        <v>23</v>
      </c>
      <c r="D153" s="21">
        <f>[58]PARS_cds_stat!C153</f>
        <v>17</v>
      </c>
      <c r="E153" s="22">
        <f t="shared" ref="E153:F153" si="160">C153/(C152+C153)</f>
        <v>0.43396226415094341</v>
      </c>
      <c r="F153" s="22">
        <f t="shared" si="160"/>
        <v>0.53125</v>
      </c>
      <c r="I153" s="60"/>
      <c r="J153" s="17" t="s">
        <v>22</v>
      </c>
      <c r="K153" s="22">
        <f t="shared" si="136"/>
        <v>0.43396226415094341</v>
      </c>
      <c r="L153" s="22">
        <f t="shared" si="137"/>
        <v>0.53125</v>
      </c>
      <c r="P153" s="24"/>
      <c r="Q153" s="24"/>
      <c r="R153" s="24"/>
      <c r="S153" s="24"/>
    </row>
    <row r="154" spans="1:19" x14ac:dyDescent="0.15">
      <c r="A154" s="60">
        <v>77</v>
      </c>
      <c r="B154" s="21" t="s">
        <v>21</v>
      </c>
      <c r="C154" s="21">
        <f>[58]PARS_cds_stat!B154</f>
        <v>23</v>
      </c>
      <c r="D154" s="21">
        <f>[58]PARS_cds_stat!C154</f>
        <v>26</v>
      </c>
      <c r="E154" s="22">
        <f t="shared" ref="E154:F154" si="161">C154/(C154+C155)</f>
        <v>0.54761904761904767</v>
      </c>
      <c r="F154" s="22">
        <f t="shared" si="161"/>
        <v>0.55319148936170215</v>
      </c>
      <c r="I154" s="60">
        <v>77</v>
      </c>
      <c r="J154" s="17" t="s">
        <v>21</v>
      </c>
      <c r="K154" s="22">
        <f t="shared" si="136"/>
        <v>0.54761904761904767</v>
      </c>
      <c r="L154" s="22">
        <f t="shared" si="137"/>
        <v>0.55319148936170215</v>
      </c>
      <c r="P154" s="24"/>
      <c r="Q154" s="24"/>
      <c r="R154" s="24"/>
      <c r="S154" s="24"/>
    </row>
    <row r="155" spans="1:19" x14ac:dyDescent="0.15">
      <c r="A155" s="60"/>
      <c r="B155" s="21" t="s">
        <v>22</v>
      </c>
      <c r="C155" s="21">
        <f>[58]PARS_cds_stat!B155</f>
        <v>19</v>
      </c>
      <c r="D155" s="21">
        <f>[58]PARS_cds_stat!C155</f>
        <v>21</v>
      </c>
      <c r="E155" s="22">
        <f t="shared" ref="E155:F155" si="162">C155/(C154+C155)</f>
        <v>0.45238095238095238</v>
      </c>
      <c r="F155" s="22">
        <f t="shared" si="162"/>
        <v>0.44680851063829785</v>
      </c>
      <c r="I155" s="60"/>
      <c r="J155" s="17" t="s">
        <v>22</v>
      </c>
      <c r="K155" s="22">
        <f t="shared" si="136"/>
        <v>0.45238095238095238</v>
      </c>
      <c r="L155" s="22">
        <f t="shared" si="137"/>
        <v>0.44680851063829785</v>
      </c>
      <c r="P155" s="24"/>
      <c r="Q155" s="24"/>
      <c r="R155" s="24"/>
      <c r="S155" s="24"/>
    </row>
    <row r="156" spans="1:19" x14ac:dyDescent="0.15">
      <c r="A156" s="60">
        <v>78</v>
      </c>
      <c r="B156" s="21" t="s">
        <v>21</v>
      </c>
      <c r="C156" s="21">
        <f>[58]PARS_cds_stat!B156</f>
        <v>24</v>
      </c>
      <c r="D156" s="21">
        <f>[58]PARS_cds_stat!C156</f>
        <v>26</v>
      </c>
      <c r="E156" s="22">
        <f t="shared" ref="E156:F156" si="163">C156/(C156+C157)</f>
        <v>0.72727272727272729</v>
      </c>
      <c r="F156" s="22">
        <f t="shared" si="163"/>
        <v>0.65</v>
      </c>
      <c r="I156" s="60">
        <v>78</v>
      </c>
      <c r="J156" s="17" t="s">
        <v>21</v>
      </c>
      <c r="K156" s="22">
        <f t="shared" si="136"/>
        <v>0.72727272727272729</v>
      </c>
      <c r="L156" s="22">
        <f t="shared" si="137"/>
        <v>0.65</v>
      </c>
      <c r="P156" s="24"/>
      <c r="Q156" s="24"/>
      <c r="R156" s="24"/>
      <c r="S156" s="24"/>
    </row>
    <row r="157" spans="1:19" x14ac:dyDescent="0.15">
      <c r="A157" s="60"/>
      <c r="B157" s="21" t="s">
        <v>22</v>
      </c>
      <c r="C157" s="21">
        <f>[58]PARS_cds_stat!B157</f>
        <v>9</v>
      </c>
      <c r="D157" s="21">
        <f>[58]PARS_cds_stat!C157</f>
        <v>14</v>
      </c>
      <c r="E157" s="22">
        <f t="shared" ref="E157:F157" si="164">C157/(C156+C157)</f>
        <v>0.27272727272727271</v>
      </c>
      <c r="F157" s="22">
        <f t="shared" si="164"/>
        <v>0.35</v>
      </c>
      <c r="I157" s="60"/>
      <c r="J157" s="17" t="s">
        <v>22</v>
      </c>
      <c r="K157" s="22">
        <f t="shared" si="136"/>
        <v>0.27272727272727271</v>
      </c>
      <c r="L157" s="22">
        <f t="shared" si="137"/>
        <v>0.35</v>
      </c>
      <c r="P157" s="24"/>
      <c r="Q157" s="24"/>
      <c r="R157" s="24"/>
      <c r="S157" s="24"/>
    </row>
    <row r="158" spans="1:19" x14ac:dyDescent="0.15">
      <c r="A158" s="60">
        <v>79</v>
      </c>
      <c r="B158" s="21" t="s">
        <v>21</v>
      </c>
      <c r="C158" s="21">
        <f>[58]PARS_cds_stat!B158</f>
        <v>30</v>
      </c>
      <c r="D158" s="21">
        <f>[58]PARS_cds_stat!C158</f>
        <v>19</v>
      </c>
      <c r="E158" s="22">
        <f t="shared" ref="E158:F158" si="165">C158/(C158+C159)</f>
        <v>0.76923076923076927</v>
      </c>
      <c r="F158" s="22">
        <f t="shared" si="165"/>
        <v>0.70370370370370372</v>
      </c>
      <c r="I158" s="60">
        <v>79</v>
      </c>
      <c r="J158" s="17" t="s">
        <v>21</v>
      </c>
      <c r="K158" s="22">
        <f t="shared" si="136"/>
        <v>0.76923076923076927</v>
      </c>
      <c r="L158" s="22">
        <f t="shared" si="137"/>
        <v>0.70370370370370372</v>
      </c>
      <c r="P158" s="24"/>
      <c r="Q158" s="24"/>
      <c r="R158" s="24"/>
      <c r="S158" s="24"/>
    </row>
    <row r="159" spans="1:19" x14ac:dyDescent="0.15">
      <c r="A159" s="60"/>
      <c r="B159" s="21" t="s">
        <v>22</v>
      </c>
      <c r="C159" s="21">
        <f>[58]PARS_cds_stat!B159</f>
        <v>9</v>
      </c>
      <c r="D159" s="21">
        <f>[58]PARS_cds_stat!C159</f>
        <v>8</v>
      </c>
      <c r="E159" s="22">
        <f t="shared" ref="E159:F159" si="166">C159/(C158+C159)</f>
        <v>0.23076923076923078</v>
      </c>
      <c r="F159" s="22">
        <f t="shared" si="166"/>
        <v>0.29629629629629628</v>
      </c>
      <c r="I159" s="60"/>
      <c r="J159" s="17" t="s">
        <v>22</v>
      </c>
      <c r="K159" s="22">
        <f t="shared" si="136"/>
        <v>0.23076923076923078</v>
      </c>
      <c r="L159" s="22">
        <f t="shared" si="137"/>
        <v>0.29629629629629628</v>
      </c>
      <c r="P159" s="24"/>
      <c r="Q159" s="24"/>
      <c r="R159" s="24"/>
      <c r="S159" s="24"/>
    </row>
    <row r="160" spans="1:19" x14ac:dyDescent="0.15">
      <c r="A160" s="60">
        <v>80</v>
      </c>
      <c r="B160" s="21" t="s">
        <v>21</v>
      </c>
      <c r="C160" s="21">
        <f>[58]PARS_cds_stat!B160</f>
        <v>29</v>
      </c>
      <c r="D160" s="21">
        <f>[58]PARS_cds_stat!C160</f>
        <v>17</v>
      </c>
      <c r="E160" s="22">
        <f t="shared" ref="E160:F160" si="167">C160/(C160+C161)</f>
        <v>0.63043478260869568</v>
      </c>
      <c r="F160" s="22">
        <f t="shared" si="167"/>
        <v>0.56666666666666665</v>
      </c>
      <c r="I160" s="60">
        <v>80</v>
      </c>
      <c r="J160" s="17" t="s">
        <v>21</v>
      </c>
      <c r="K160" s="22">
        <f t="shared" si="136"/>
        <v>0.63043478260869568</v>
      </c>
      <c r="L160" s="22">
        <f t="shared" si="137"/>
        <v>0.56666666666666665</v>
      </c>
      <c r="P160" s="24"/>
      <c r="Q160" s="24"/>
      <c r="R160" s="24"/>
      <c r="S160" s="24"/>
    </row>
    <row r="161" spans="1:19" x14ac:dyDescent="0.15">
      <c r="A161" s="60"/>
      <c r="B161" s="21" t="s">
        <v>22</v>
      </c>
      <c r="C161" s="21">
        <f>[58]PARS_cds_stat!B161</f>
        <v>17</v>
      </c>
      <c r="D161" s="21">
        <f>[58]PARS_cds_stat!C161</f>
        <v>13</v>
      </c>
      <c r="E161" s="22">
        <f t="shared" ref="E161:F161" si="168">C161/(C160+C161)</f>
        <v>0.36956521739130432</v>
      </c>
      <c r="F161" s="22">
        <f t="shared" si="168"/>
        <v>0.43333333333333335</v>
      </c>
      <c r="I161" s="60"/>
      <c r="J161" s="17" t="s">
        <v>22</v>
      </c>
      <c r="K161" s="22">
        <f t="shared" si="136"/>
        <v>0.36956521739130432</v>
      </c>
      <c r="L161" s="22">
        <f t="shared" si="137"/>
        <v>0.43333333333333335</v>
      </c>
      <c r="P161" s="24"/>
      <c r="Q161" s="24"/>
      <c r="R161" s="24"/>
      <c r="S161" s="24"/>
    </row>
    <row r="162" spans="1:19" x14ac:dyDescent="0.15">
      <c r="A162" s="60">
        <v>81</v>
      </c>
      <c r="B162" s="21" t="s">
        <v>21</v>
      </c>
      <c r="C162" s="21">
        <f>[58]PARS_cds_stat!B162</f>
        <v>35</v>
      </c>
      <c r="D162" s="21">
        <f>[58]PARS_cds_stat!C162</f>
        <v>14</v>
      </c>
      <c r="E162" s="22">
        <f t="shared" ref="E162:F162" si="169">C162/(C162+C163)</f>
        <v>0.67307692307692313</v>
      </c>
      <c r="F162" s="22">
        <f t="shared" si="169"/>
        <v>0.58333333333333337</v>
      </c>
      <c r="I162" s="60">
        <v>81</v>
      </c>
      <c r="J162" s="17" t="s">
        <v>21</v>
      </c>
      <c r="K162" s="22">
        <f t="shared" si="136"/>
        <v>0.67307692307692313</v>
      </c>
      <c r="L162" s="22">
        <f t="shared" si="137"/>
        <v>0.58333333333333337</v>
      </c>
      <c r="P162" s="24"/>
      <c r="Q162" s="24"/>
      <c r="R162" s="24"/>
      <c r="S162" s="24"/>
    </row>
    <row r="163" spans="1:19" x14ac:dyDescent="0.15">
      <c r="A163" s="60"/>
      <c r="B163" s="21" t="s">
        <v>22</v>
      </c>
      <c r="C163" s="21">
        <f>[58]PARS_cds_stat!B163</f>
        <v>17</v>
      </c>
      <c r="D163" s="21">
        <f>[58]PARS_cds_stat!C163</f>
        <v>10</v>
      </c>
      <c r="E163" s="22">
        <f t="shared" ref="E163:F163" si="170">C163/(C162+C163)</f>
        <v>0.32692307692307693</v>
      </c>
      <c r="F163" s="22">
        <f t="shared" si="170"/>
        <v>0.41666666666666669</v>
      </c>
      <c r="I163" s="60"/>
      <c r="J163" s="17" t="s">
        <v>22</v>
      </c>
      <c r="K163" s="22">
        <f t="shared" si="136"/>
        <v>0.32692307692307693</v>
      </c>
      <c r="L163" s="22">
        <f t="shared" si="137"/>
        <v>0.41666666666666669</v>
      </c>
      <c r="P163" s="24"/>
      <c r="Q163" s="24"/>
      <c r="R163" s="24"/>
      <c r="S163" s="24"/>
    </row>
    <row r="164" spans="1:19" x14ac:dyDescent="0.15">
      <c r="A164" s="60">
        <v>82</v>
      </c>
      <c r="B164" s="21" t="s">
        <v>21</v>
      </c>
      <c r="C164" s="21">
        <f>[58]PARS_cds_stat!B164</f>
        <v>29</v>
      </c>
      <c r="D164" s="21">
        <f>[58]PARS_cds_stat!C164</f>
        <v>24</v>
      </c>
      <c r="E164" s="22">
        <f t="shared" ref="E164:F164" si="171">C164/(C164+C165)</f>
        <v>0.65909090909090906</v>
      </c>
      <c r="F164" s="22">
        <f t="shared" si="171"/>
        <v>0.5714285714285714</v>
      </c>
      <c r="I164" s="60">
        <v>82</v>
      </c>
      <c r="J164" s="17" t="s">
        <v>21</v>
      </c>
      <c r="K164" s="22">
        <f t="shared" si="136"/>
        <v>0.65909090909090906</v>
      </c>
      <c r="L164" s="22">
        <f t="shared" si="137"/>
        <v>0.5714285714285714</v>
      </c>
      <c r="P164" s="24"/>
      <c r="Q164" s="24"/>
      <c r="R164" s="24"/>
      <c r="S164" s="24"/>
    </row>
    <row r="165" spans="1:19" x14ac:dyDescent="0.15">
      <c r="A165" s="60"/>
      <c r="B165" s="21" t="s">
        <v>22</v>
      </c>
      <c r="C165" s="21">
        <f>[58]PARS_cds_stat!B165</f>
        <v>15</v>
      </c>
      <c r="D165" s="21">
        <f>[58]PARS_cds_stat!C165</f>
        <v>18</v>
      </c>
      <c r="E165" s="22">
        <f t="shared" ref="E165:F165" si="172">C165/(C164+C165)</f>
        <v>0.34090909090909088</v>
      </c>
      <c r="F165" s="22">
        <f t="shared" si="172"/>
        <v>0.42857142857142855</v>
      </c>
      <c r="I165" s="60"/>
      <c r="J165" s="17" t="s">
        <v>22</v>
      </c>
      <c r="K165" s="22">
        <f t="shared" si="136"/>
        <v>0.34090909090909088</v>
      </c>
      <c r="L165" s="22">
        <f t="shared" si="137"/>
        <v>0.42857142857142855</v>
      </c>
      <c r="P165" s="24"/>
      <c r="Q165" s="24"/>
      <c r="R165" s="24"/>
      <c r="S165" s="24"/>
    </row>
    <row r="166" spans="1:19" x14ac:dyDescent="0.15">
      <c r="A166" s="60">
        <v>83</v>
      </c>
      <c r="B166" s="21" t="s">
        <v>21</v>
      </c>
      <c r="C166" s="21">
        <f>[58]PARS_cds_stat!B166</f>
        <v>25</v>
      </c>
      <c r="D166" s="21">
        <f>[58]PARS_cds_stat!C166</f>
        <v>15</v>
      </c>
      <c r="E166" s="22">
        <f t="shared" ref="E166:F166" si="173">C166/(C166+C167)</f>
        <v>0.64102564102564108</v>
      </c>
      <c r="F166" s="22">
        <f t="shared" si="173"/>
        <v>0.57692307692307687</v>
      </c>
      <c r="I166" s="60">
        <v>83</v>
      </c>
      <c r="J166" s="17" t="s">
        <v>21</v>
      </c>
      <c r="K166" s="22">
        <f t="shared" si="136"/>
        <v>0.64102564102564108</v>
      </c>
      <c r="L166" s="22">
        <f t="shared" si="137"/>
        <v>0.57692307692307687</v>
      </c>
      <c r="P166" s="24"/>
      <c r="Q166" s="24"/>
      <c r="R166" s="24"/>
      <c r="S166" s="24"/>
    </row>
    <row r="167" spans="1:19" x14ac:dyDescent="0.15">
      <c r="A167" s="60"/>
      <c r="B167" s="21" t="s">
        <v>22</v>
      </c>
      <c r="C167" s="21">
        <f>[58]PARS_cds_stat!B167</f>
        <v>14</v>
      </c>
      <c r="D167" s="21">
        <f>[58]PARS_cds_stat!C167</f>
        <v>11</v>
      </c>
      <c r="E167" s="22">
        <f t="shared" ref="E167:F167" si="174">C167/(C166+C167)</f>
        <v>0.35897435897435898</v>
      </c>
      <c r="F167" s="22">
        <f t="shared" si="174"/>
        <v>0.42307692307692307</v>
      </c>
      <c r="I167" s="60"/>
      <c r="J167" s="17" t="s">
        <v>22</v>
      </c>
      <c r="K167" s="22">
        <f t="shared" si="136"/>
        <v>0.35897435897435898</v>
      </c>
      <c r="L167" s="22">
        <f t="shared" si="137"/>
        <v>0.42307692307692307</v>
      </c>
      <c r="P167" s="24"/>
      <c r="Q167" s="24"/>
      <c r="R167" s="24"/>
      <c r="S167" s="24"/>
    </row>
    <row r="168" spans="1:19" x14ac:dyDescent="0.15">
      <c r="A168" s="60">
        <v>84</v>
      </c>
      <c r="B168" s="21" t="s">
        <v>21</v>
      </c>
      <c r="C168" s="21">
        <f>[58]PARS_cds_stat!B168</f>
        <v>23</v>
      </c>
      <c r="D168" s="21">
        <f>[58]PARS_cds_stat!C168</f>
        <v>23</v>
      </c>
      <c r="E168" s="22">
        <f t="shared" ref="E168:F168" si="175">C168/(C168+C169)</f>
        <v>0.6216216216216216</v>
      </c>
      <c r="F168" s="22">
        <f t="shared" si="175"/>
        <v>0.54761904761904767</v>
      </c>
      <c r="I168" s="60">
        <v>84</v>
      </c>
      <c r="J168" s="17" t="s">
        <v>21</v>
      </c>
      <c r="K168" s="22">
        <f t="shared" si="136"/>
        <v>0.6216216216216216</v>
      </c>
      <c r="L168" s="22">
        <f t="shared" si="137"/>
        <v>0.54761904761904767</v>
      </c>
      <c r="P168" s="24"/>
      <c r="Q168" s="24"/>
      <c r="R168" s="24"/>
      <c r="S168" s="24"/>
    </row>
    <row r="169" spans="1:19" x14ac:dyDescent="0.15">
      <c r="A169" s="60"/>
      <c r="B169" s="21" t="s">
        <v>22</v>
      </c>
      <c r="C169" s="21">
        <f>[58]PARS_cds_stat!B169</f>
        <v>14</v>
      </c>
      <c r="D169" s="21">
        <f>[58]PARS_cds_stat!C169</f>
        <v>19</v>
      </c>
      <c r="E169" s="22">
        <f t="shared" ref="E169:F169" si="176">C169/(C168+C169)</f>
        <v>0.3783783783783784</v>
      </c>
      <c r="F169" s="22">
        <f t="shared" si="176"/>
        <v>0.45238095238095238</v>
      </c>
      <c r="I169" s="60"/>
      <c r="J169" s="17" t="s">
        <v>22</v>
      </c>
      <c r="K169" s="22">
        <f t="shared" si="136"/>
        <v>0.3783783783783784</v>
      </c>
      <c r="L169" s="22">
        <f t="shared" si="137"/>
        <v>0.45238095238095238</v>
      </c>
      <c r="P169" s="24"/>
      <c r="Q169" s="24"/>
      <c r="R169" s="24"/>
      <c r="S169" s="24"/>
    </row>
    <row r="170" spans="1:19" x14ac:dyDescent="0.15">
      <c r="A170" s="60">
        <v>85</v>
      </c>
      <c r="B170" s="21" t="s">
        <v>21</v>
      </c>
      <c r="C170" s="21">
        <f>[58]PARS_cds_stat!B170</f>
        <v>28</v>
      </c>
      <c r="D170" s="21">
        <f>[58]PARS_cds_stat!C170</f>
        <v>12</v>
      </c>
      <c r="E170" s="22">
        <f t="shared" ref="E170:F170" si="177">C170/(C170+C171)</f>
        <v>0.58333333333333337</v>
      </c>
      <c r="F170" s="22">
        <f t="shared" si="177"/>
        <v>0.44444444444444442</v>
      </c>
      <c r="I170" s="60">
        <v>85</v>
      </c>
      <c r="J170" s="17" t="s">
        <v>21</v>
      </c>
      <c r="K170" s="22">
        <f t="shared" si="136"/>
        <v>0.58333333333333337</v>
      </c>
      <c r="L170" s="22">
        <f t="shared" si="137"/>
        <v>0.44444444444444442</v>
      </c>
      <c r="P170" s="24"/>
      <c r="Q170" s="24"/>
      <c r="R170" s="24"/>
      <c r="S170" s="24"/>
    </row>
    <row r="171" spans="1:19" x14ac:dyDescent="0.15">
      <c r="A171" s="60"/>
      <c r="B171" s="21" t="s">
        <v>22</v>
      </c>
      <c r="C171" s="21">
        <f>[58]PARS_cds_stat!B171</f>
        <v>20</v>
      </c>
      <c r="D171" s="21">
        <f>[58]PARS_cds_stat!C171</f>
        <v>15</v>
      </c>
      <c r="E171" s="22">
        <f t="shared" ref="E171:F171" si="178">C171/(C170+C171)</f>
        <v>0.41666666666666669</v>
      </c>
      <c r="F171" s="22">
        <f t="shared" si="178"/>
        <v>0.55555555555555558</v>
      </c>
      <c r="I171" s="60"/>
      <c r="J171" s="17" t="s">
        <v>22</v>
      </c>
      <c r="K171" s="22">
        <f t="shared" si="136"/>
        <v>0.41666666666666669</v>
      </c>
      <c r="L171" s="22">
        <f t="shared" si="137"/>
        <v>0.55555555555555558</v>
      </c>
      <c r="P171" s="24"/>
      <c r="Q171" s="24"/>
      <c r="R171" s="24"/>
      <c r="S171" s="24"/>
    </row>
    <row r="172" spans="1:19" x14ac:dyDescent="0.15">
      <c r="A172" s="60">
        <v>86</v>
      </c>
      <c r="B172" s="21" t="s">
        <v>21</v>
      </c>
      <c r="C172" s="21">
        <f>[58]PARS_cds_stat!B172</f>
        <v>20</v>
      </c>
      <c r="D172" s="21">
        <f>[58]PARS_cds_stat!C172</f>
        <v>22</v>
      </c>
      <c r="E172" s="22">
        <f t="shared" ref="E172:F172" si="179">C172/(C172+C173)</f>
        <v>0.625</v>
      </c>
      <c r="F172" s="22">
        <f t="shared" si="179"/>
        <v>0.61111111111111116</v>
      </c>
      <c r="I172" s="60">
        <v>86</v>
      </c>
      <c r="J172" s="17" t="s">
        <v>21</v>
      </c>
      <c r="K172" s="22">
        <f t="shared" si="136"/>
        <v>0.625</v>
      </c>
      <c r="L172" s="22">
        <f t="shared" si="137"/>
        <v>0.61111111111111116</v>
      </c>
      <c r="P172" s="24"/>
      <c r="Q172" s="24"/>
      <c r="R172" s="24"/>
      <c r="S172" s="24"/>
    </row>
    <row r="173" spans="1:19" x14ac:dyDescent="0.15">
      <c r="A173" s="60"/>
      <c r="B173" s="21" t="s">
        <v>22</v>
      </c>
      <c r="C173" s="21">
        <f>[58]PARS_cds_stat!B173</f>
        <v>12</v>
      </c>
      <c r="D173" s="21">
        <f>[58]PARS_cds_stat!C173</f>
        <v>14</v>
      </c>
      <c r="E173" s="22">
        <f t="shared" ref="E173:F173" si="180">C173/(C172+C173)</f>
        <v>0.375</v>
      </c>
      <c r="F173" s="22">
        <f t="shared" si="180"/>
        <v>0.3888888888888889</v>
      </c>
      <c r="I173" s="60"/>
      <c r="J173" s="17" t="s">
        <v>22</v>
      </c>
      <c r="K173" s="22">
        <f t="shared" si="136"/>
        <v>0.375</v>
      </c>
      <c r="L173" s="22">
        <f t="shared" si="137"/>
        <v>0.3888888888888889</v>
      </c>
      <c r="P173" s="24"/>
      <c r="Q173" s="24"/>
      <c r="R173" s="24"/>
      <c r="S173" s="24"/>
    </row>
    <row r="174" spans="1:19" x14ac:dyDescent="0.15">
      <c r="A174" s="60">
        <v>87</v>
      </c>
      <c r="B174" s="21" t="s">
        <v>21</v>
      </c>
      <c r="C174" s="21">
        <f>[58]PARS_cds_stat!B174</f>
        <v>19</v>
      </c>
      <c r="D174" s="21">
        <f>[58]PARS_cds_stat!C174</f>
        <v>25</v>
      </c>
      <c r="E174" s="22">
        <f t="shared" ref="E174:F174" si="181">C174/(C174+C175)</f>
        <v>0.59375</v>
      </c>
      <c r="F174" s="22">
        <f t="shared" si="181"/>
        <v>0.55555555555555558</v>
      </c>
      <c r="I174" s="60">
        <v>87</v>
      </c>
      <c r="J174" s="17" t="s">
        <v>21</v>
      </c>
      <c r="K174" s="22">
        <f t="shared" si="136"/>
        <v>0.59375</v>
      </c>
      <c r="L174" s="22">
        <f t="shared" si="137"/>
        <v>0.55555555555555558</v>
      </c>
      <c r="P174" s="24"/>
      <c r="Q174" s="24"/>
      <c r="R174" s="24"/>
      <c r="S174" s="24"/>
    </row>
    <row r="175" spans="1:19" x14ac:dyDescent="0.15">
      <c r="A175" s="60"/>
      <c r="B175" s="21" t="s">
        <v>22</v>
      </c>
      <c r="C175" s="21">
        <f>[58]PARS_cds_stat!B175</f>
        <v>13</v>
      </c>
      <c r="D175" s="21">
        <f>[58]PARS_cds_stat!C175</f>
        <v>20</v>
      </c>
      <c r="E175" s="22">
        <f t="shared" ref="E175:F175" si="182">C175/(C174+C175)</f>
        <v>0.40625</v>
      </c>
      <c r="F175" s="22">
        <f t="shared" si="182"/>
        <v>0.44444444444444442</v>
      </c>
      <c r="I175" s="60"/>
      <c r="J175" s="17" t="s">
        <v>22</v>
      </c>
      <c r="K175" s="22">
        <f t="shared" si="136"/>
        <v>0.40625</v>
      </c>
      <c r="L175" s="22">
        <f t="shared" si="137"/>
        <v>0.44444444444444442</v>
      </c>
      <c r="P175" s="24"/>
      <c r="Q175" s="24"/>
      <c r="R175" s="24"/>
      <c r="S175" s="24"/>
    </row>
    <row r="176" spans="1:19" x14ac:dyDescent="0.15">
      <c r="A176" s="60">
        <v>88</v>
      </c>
      <c r="B176" s="21" t="s">
        <v>21</v>
      </c>
      <c r="C176" s="21">
        <f>[58]PARS_cds_stat!B176</f>
        <v>25</v>
      </c>
      <c r="D176" s="21">
        <f>[58]PARS_cds_stat!C176</f>
        <v>25</v>
      </c>
      <c r="E176" s="22">
        <f t="shared" ref="E176:F176" si="183">C176/(C176+C177)</f>
        <v>0.73529411764705888</v>
      </c>
      <c r="F176" s="22">
        <f t="shared" si="183"/>
        <v>0.6097560975609756</v>
      </c>
      <c r="I176" s="60">
        <v>88</v>
      </c>
      <c r="J176" s="17" t="s">
        <v>21</v>
      </c>
      <c r="K176" s="22">
        <f t="shared" si="136"/>
        <v>0.73529411764705888</v>
      </c>
      <c r="L176" s="22">
        <f t="shared" si="137"/>
        <v>0.6097560975609756</v>
      </c>
      <c r="P176" s="24"/>
      <c r="Q176" s="24"/>
      <c r="R176" s="24"/>
      <c r="S176" s="24"/>
    </row>
    <row r="177" spans="1:19" x14ac:dyDescent="0.15">
      <c r="A177" s="60"/>
      <c r="B177" s="21" t="s">
        <v>22</v>
      </c>
      <c r="C177" s="21">
        <f>[58]PARS_cds_stat!B177</f>
        <v>9</v>
      </c>
      <c r="D177" s="21">
        <f>[58]PARS_cds_stat!C177</f>
        <v>16</v>
      </c>
      <c r="E177" s="22">
        <f t="shared" ref="E177:F177" si="184">C177/(C176+C177)</f>
        <v>0.26470588235294118</v>
      </c>
      <c r="F177" s="22">
        <f t="shared" si="184"/>
        <v>0.3902439024390244</v>
      </c>
      <c r="I177" s="60"/>
      <c r="J177" s="17" t="s">
        <v>22</v>
      </c>
      <c r="K177" s="22">
        <f t="shared" si="136"/>
        <v>0.26470588235294118</v>
      </c>
      <c r="L177" s="22">
        <f t="shared" si="137"/>
        <v>0.3902439024390244</v>
      </c>
      <c r="P177" s="24"/>
      <c r="Q177" s="24"/>
      <c r="R177" s="24"/>
      <c r="S177" s="24"/>
    </row>
    <row r="178" spans="1:19" x14ac:dyDescent="0.15">
      <c r="A178" s="60">
        <v>89</v>
      </c>
      <c r="B178" s="21" t="s">
        <v>21</v>
      </c>
      <c r="C178" s="21">
        <f>[58]PARS_cds_stat!B178</f>
        <v>25</v>
      </c>
      <c r="D178" s="21">
        <f>[58]PARS_cds_stat!C178</f>
        <v>27</v>
      </c>
      <c r="E178" s="22">
        <f t="shared" ref="E178:F178" si="185">C178/(C178+C179)</f>
        <v>0.64102564102564108</v>
      </c>
      <c r="F178" s="22">
        <f t="shared" si="185"/>
        <v>0.69230769230769229</v>
      </c>
      <c r="I178" s="60">
        <v>89</v>
      </c>
      <c r="J178" s="17" t="s">
        <v>21</v>
      </c>
      <c r="K178" s="22">
        <f t="shared" si="136"/>
        <v>0.64102564102564108</v>
      </c>
      <c r="L178" s="22">
        <f t="shared" si="137"/>
        <v>0.69230769230769229</v>
      </c>
      <c r="P178" s="24"/>
      <c r="Q178" s="24"/>
      <c r="R178" s="24"/>
      <c r="S178" s="24"/>
    </row>
    <row r="179" spans="1:19" x14ac:dyDescent="0.15">
      <c r="A179" s="60"/>
      <c r="B179" s="21" t="s">
        <v>22</v>
      </c>
      <c r="C179" s="21">
        <f>[58]PARS_cds_stat!B179</f>
        <v>14</v>
      </c>
      <c r="D179" s="21">
        <f>[58]PARS_cds_stat!C179</f>
        <v>12</v>
      </c>
      <c r="E179" s="22">
        <f t="shared" ref="E179:F179" si="186">C179/(C178+C179)</f>
        <v>0.35897435897435898</v>
      </c>
      <c r="F179" s="22">
        <f t="shared" si="186"/>
        <v>0.30769230769230771</v>
      </c>
      <c r="I179" s="60"/>
      <c r="J179" s="17" t="s">
        <v>22</v>
      </c>
      <c r="K179" s="22">
        <f t="shared" si="136"/>
        <v>0.35897435897435898</v>
      </c>
      <c r="L179" s="22">
        <f t="shared" si="137"/>
        <v>0.30769230769230771</v>
      </c>
      <c r="P179" s="24"/>
      <c r="Q179" s="24"/>
      <c r="R179" s="24"/>
      <c r="S179" s="24"/>
    </row>
    <row r="180" spans="1:19" x14ac:dyDescent="0.15">
      <c r="A180" s="60">
        <v>90</v>
      </c>
      <c r="B180" s="21" t="s">
        <v>21</v>
      </c>
      <c r="C180" s="21">
        <f>[58]PARS_cds_stat!B180</f>
        <v>25</v>
      </c>
      <c r="D180" s="21">
        <f>[58]PARS_cds_stat!C180</f>
        <v>21</v>
      </c>
      <c r="E180" s="22">
        <f t="shared" ref="E180:F180" si="187">C180/(C180+C181)</f>
        <v>0.56818181818181823</v>
      </c>
      <c r="F180" s="22">
        <f t="shared" si="187"/>
        <v>0.58333333333333337</v>
      </c>
      <c r="I180" s="60">
        <v>90</v>
      </c>
      <c r="J180" s="17" t="s">
        <v>21</v>
      </c>
      <c r="K180" s="22">
        <f t="shared" si="136"/>
        <v>0.56818181818181823</v>
      </c>
      <c r="L180" s="22">
        <f t="shared" si="137"/>
        <v>0.58333333333333337</v>
      </c>
      <c r="P180" s="24"/>
      <c r="Q180" s="24"/>
      <c r="R180" s="24"/>
      <c r="S180" s="24"/>
    </row>
    <row r="181" spans="1:19" x14ac:dyDescent="0.15">
      <c r="A181" s="60"/>
      <c r="B181" s="21" t="s">
        <v>22</v>
      </c>
      <c r="C181" s="21">
        <f>[58]PARS_cds_stat!B181</f>
        <v>19</v>
      </c>
      <c r="D181" s="21">
        <f>[58]PARS_cds_stat!C181</f>
        <v>15</v>
      </c>
      <c r="E181" s="22">
        <f t="shared" ref="E181:F181" si="188">C181/(C180+C181)</f>
        <v>0.43181818181818182</v>
      </c>
      <c r="F181" s="22">
        <f t="shared" si="188"/>
        <v>0.41666666666666669</v>
      </c>
      <c r="I181" s="60"/>
      <c r="J181" s="17" t="s">
        <v>22</v>
      </c>
      <c r="K181" s="22">
        <f t="shared" si="136"/>
        <v>0.43181818181818182</v>
      </c>
      <c r="L181" s="22">
        <f t="shared" si="137"/>
        <v>0.41666666666666669</v>
      </c>
      <c r="P181" s="24"/>
      <c r="Q181" s="24"/>
      <c r="R181" s="24"/>
      <c r="S181" s="24"/>
    </row>
    <row r="182" spans="1:19" x14ac:dyDescent="0.15">
      <c r="A182" s="60">
        <v>91</v>
      </c>
      <c r="B182" s="21" t="s">
        <v>21</v>
      </c>
      <c r="C182" s="21">
        <f>[58]PARS_cds_stat!B182</f>
        <v>27</v>
      </c>
      <c r="D182" s="21">
        <f>[58]PARS_cds_stat!C182</f>
        <v>14</v>
      </c>
      <c r="E182" s="22">
        <f t="shared" ref="E182:F182" si="189">C182/(C182+C183)</f>
        <v>0.62790697674418605</v>
      </c>
      <c r="F182" s="22">
        <f t="shared" si="189"/>
        <v>0.51851851851851849</v>
      </c>
      <c r="I182" s="60">
        <v>91</v>
      </c>
      <c r="J182" s="17" t="s">
        <v>21</v>
      </c>
      <c r="K182" s="22">
        <f t="shared" si="136"/>
        <v>0.62790697674418605</v>
      </c>
      <c r="L182" s="22">
        <f t="shared" si="137"/>
        <v>0.51851851851851849</v>
      </c>
      <c r="P182" s="24"/>
      <c r="Q182" s="24"/>
      <c r="R182" s="24"/>
      <c r="S182" s="24"/>
    </row>
    <row r="183" spans="1:19" x14ac:dyDescent="0.15">
      <c r="A183" s="60"/>
      <c r="B183" s="21" t="s">
        <v>22</v>
      </c>
      <c r="C183" s="21">
        <f>[58]PARS_cds_stat!B183</f>
        <v>16</v>
      </c>
      <c r="D183" s="21">
        <f>[58]PARS_cds_stat!C183</f>
        <v>13</v>
      </c>
      <c r="E183" s="22">
        <f t="shared" ref="E183:F183" si="190">C183/(C182+C183)</f>
        <v>0.37209302325581395</v>
      </c>
      <c r="F183" s="22">
        <f t="shared" si="190"/>
        <v>0.48148148148148145</v>
      </c>
      <c r="I183" s="60"/>
      <c r="J183" s="17" t="s">
        <v>22</v>
      </c>
      <c r="K183" s="22">
        <f t="shared" si="136"/>
        <v>0.37209302325581395</v>
      </c>
      <c r="L183" s="22">
        <f t="shared" si="137"/>
        <v>0.48148148148148145</v>
      </c>
      <c r="P183" s="24"/>
      <c r="Q183" s="24"/>
      <c r="R183" s="24"/>
      <c r="S183" s="24"/>
    </row>
    <row r="184" spans="1:19" x14ac:dyDescent="0.15">
      <c r="A184" s="60">
        <v>92</v>
      </c>
      <c r="B184" s="21" t="s">
        <v>21</v>
      </c>
      <c r="C184" s="21">
        <f>[58]PARS_cds_stat!B184</f>
        <v>18</v>
      </c>
      <c r="D184" s="21">
        <f>[58]PARS_cds_stat!C184</f>
        <v>22</v>
      </c>
      <c r="E184" s="22">
        <f t="shared" ref="E184:F184" si="191">C184/(C184+C185)</f>
        <v>0.6428571428571429</v>
      </c>
      <c r="F184" s="22">
        <f t="shared" si="191"/>
        <v>0.6470588235294118</v>
      </c>
      <c r="I184" s="60">
        <v>92</v>
      </c>
      <c r="J184" s="17" t="s">
        <v>21</v>
      </c>
      <c r="K184" s="22">
        <f t="shared" si="136"/>
        <v>0.6428571428571429</v>
      </c>
      <c r="L184" s="22">
        <f t="shared" si="137"/>
        <v>0.6470588235294118</v>
      </c>
      <c r="P184" s="24"/>
      <c r="Q184" s="24"/>
      <c r="R184" s="24"/>
      <c r="S184" s="24"/>
    </row>
    <row r="185" spans="1:19" x14ac:dyDescent="0.15">
      <c r="A185" s="60"/>
      <c r="B185" s="21" t="s">
        <v>22</v>
      </c>
      <c r="C185" s="21">
        <f>[58]PARS_cds_stat!B185</f>
        <v>10</v>
      </c>
      <c r="D185" s="21">
        <f>[58]PARS_cds_stat!C185</f>
        <v>12</v>
      </c>
      <c r="E185" s="22">
        <f t="shared" ref="E185:F185" si="192">C185/(C184+C185)</f>
        <v>0.35714285714285715</v>
      </c>
      <c r="F185" s="22">
        <f t="shared" si="192"/>
        <v>0.35294117647058826</v>
      </c>
      <c r="I185" s="60"/>
      <c r="J185" s="17" t="s">
        <v>22</v>
      </c>
      <c r="K185" s="22">
        <f t="shared" si="136"/>
        <v>0.35714285714285715</v>
      </c>
      <c r="L185" s="22">
        <f t="shared" si="137"/>
        <v>0.35294117647058826</v>
      </c>
      <c r="P185" s="24"/>
      <c r="Q185" s="24"/>
      <c r="R185" s="24"/>
      <c r="S185" s="24"/>
    </row>
    <row r="186" spans="1:19" x14ac:dyDescent="0.15">
      <c r="A186" s="60">
        <v>93</v>
      </c>
      <c r="B186" s="21" t="s">
        <v>21</v>
      </c>
      <c r="C186" s="21">
        <f>[58]PARS_cds_stat!B186</f>
        <v>25</v>
      </c>
      <c r="D186" s="21">
        <f>[58]PARS_cds_stat!C186</f>
        <v>32</v>
      </c>
      <c r="E186" s="22">
        <f t="shared" ref="E186:F186" si="193">C186/(C186+C187)</f>
        <v>0.78125</v>
      </c>
      <c r="F186" s="22">
        <f t="shared" si="193"/>
        <v>0.7441860465116279</v>
      </c>
      <c r="I186" s="60">
        <v>93</v>
      </c>
      <c r="J186" s="17" t="s">
        <v>21</v>
      </c>
      <c r="K186" s="22">
        <f t="shared" si="136"/>
        <v>0.78125</v>
      </c>
      <c r="L186" s="22">
        <f t="shared" si="137"/>
        <v>0.7441860465116279</v>
      </c>
      <c r="P186" s="24"/>
      <c r="Q186" s="24"/>
      <c r="R186" s="24"/>
      <c r="S186" s="24"/>
    </row>
    <row r="187" spans="1:19" x14ac:dyDescent="0.15">
      <c r="A187" s="60"/>
      <c r="B187" s="21" t="s">
        <v>22</v>
      </c>
      <c r="C187" s="21">
        <f>[58]PARS_cds_stat!B187</f>
        <v>7</v>
      </c>
      <c r="D187" s="21">
        <f>[58]PARS_cds_stat!C187</f>
        <v>11</v>
      </c>
      <c r="E187" s="22">
        <f t="shared" ref="E187:F187" si="194">C187/(C186+C187)</f>
        <v>0.21875</v>
      </c>
      <c r="F187" s="22">
        <f t="shared" si="194"/>
        <v>0.2558139534883721</v>
      </c>
      <c r="I187" s="60"/>
      <c r="J187" s="17" t="s">
        <v>22</v>
      </c>
      <c r="K187" s="22">
        <f t="shared" si="136"/>
        <v>0.21875</v>
      </c>
      <c r="L187" s="22">
        <f t="shared" si="137"/>
        <v>0.2558139534883721</v>
      </c>
      <c r="P187" s="24"/>
      <c r="Q187" s="24"/>
      <c r="R187" s="24"/>
      <c r="S187" s="24"/>
    </row>
    <row r="188" spans="1:19" x14ac:dyDescent="0.15">
      <c r="A188" s="60">
        <v>94</v>
      </c>
      <c r="B188" s="21" t="s">
        <v>21</v>
      </c>
      <c r="C188" s="21">
        <f>[58]PARS_cds_stat!B188</f>
        <v>22</v>
      </c>
      <c r="D188" s="21">
        <f>[58]PARS_cds_stat!C188</f>
        <v>24</v>
      </c>
      <c r="E188" s="22">
        <f t="shared" ref="E188:F188" si="195">C188/(C188+C189)</f>
        <v>0.59459459459459463</v>
      </c>
      <c r="F188" s="22">
        <f t="shared" si="195"/>
        <v>0.5</v>
      </c>
      <c r="I188" s="60">
        <v>94</v>
      </c>
      <c r="J188" s="17" t="s">
        <v>21</v>
      </c>
      <c r="K188" s="22">
        <f t="shared" si="136"/>
        <v>0.59459459459459463</v>
      </c>
      <c r="L188" s="22">
        <f t="shared" si="137"/>
        <v>0.5</v>
      </c>
      <c r="P188" s="24"/>
      <c r="Q188" s="24"/>
      <c r="R188" s="24"/>
      <c r="S188" s="24"/>
    </row>
    <row r="189" spans="1:19" x14ac:dyDescent="0.15">
      <c r="A189" s="60"/>
      <c r="B189" s="21" t="s">
        <v>22</v>
      </c>
      <c r="C189" s="21">
        <f>[58]PARS_cds_stat!B189</f>
        <v>15</v>
      </c>
      <c r="D189" s="21">
        <f>[58]PARS_cds_stat!C189</f>
        <v>24</v>
      </c>
      <c r="E189" s="22">
        <f t="shared" ref="E189:F189" si="196">C189/(C188+C189)</f>
        <v>0.40540540540540543</v>
      </c>
      <c r="F189" s="22">
        <f t="shared" si="196"/>
        <v>0.5</v>
      </c>
      <c r="I189" s="60"/>
      <c r="J189" s="17" t="s">
        <v>22</v>
      </c>
      <c r="K189" s="22">
        <f t="shared" si="136"/>
        <v>0.40540540540540543</v>
      </c>
      <c r="L189" s="22">
        <f t="shared" si="137"/>
        <v>0.5</v>
      </c>
      <c r="P189" s="24"/>
      <c r="Q189" s="24"/>
      <c r="R189" s="24"/>
      <c r="S189" s="24"/>
    </row>
    <row r="190" spans="1:19" x14ac:dyDescent="0.15">
      <c r="A190" s="60">
        <v>95</v>
      </c>
      <c r="B190" s="21" t="s">
        <v>21</v>
      </c>
      <c r="C190" s="21">
        <f>[58]PARS_cds_stat!B190</f>
        <v>21</v>
      </c>
      <c r="D190" s="21">
        <f>[58]PARS_cds_stat!C190</f>
        <v>16</v>
      </c>
      <c r="E190" s="22">
        <f t="shared" ref="E190:F190" si="197">C190/(C190+C191)</f>
        <v>0.53846153846153844</v>
      </c>
      <c r="F190" s="22">
        <f t="shared" si="197"/>
        <v>0.5</v>
      </c>
      <c r="I190" s="60">
        <v>95</v>
      </c>
      <c r="J190" s="17" t="s">
        <v>21</v>
      </c>
      <c r="K190" s="22">
        <f t="shared" si="136"/>
        <v>0.53846153846153844</v>
      </c>
      <c r="L190" s="22">
        <f t="shared" si="137"/>
        <v>0.5</v>
      </c>
      <c r="P190" s="24"/>
      <c r="Q190" s="24"/>
      <c r="R190" s="24"/>
      <c r="S190" s="24"/>
    </row>
    <row r="191" spans="1:19" x14ac:dyDescent="0.15">
      <c r="A191" s="60"/>
      <c r="B191" s="21" t="s">
        <v>22</v>
      </c>
      <c r="C191" s="21">
        <f>[58]PARS_cds_stat!B191</f>
        <v>18</v>
      </c>
      <c r="D191" s="21">
        <f>[58]PARS_cds_stat!C191</f>
        <v>16</v>
      </c>
      <c r="E191" s="22">
        <f t="shared" ref="E191:F191" si="198">C191/(C190+C191)</f>
        <v>0.46153846153846156</v>
      </c>
      <c r="F191" s="22">
        <f t="shared" si="198"/>
        <v>0.5</v>
      </c>
      <c r="I191" s="60"/>
      <c r="J191" s="17" t="s">
        <v>22</v>
      </c>
      <c r="K191" s="22">
        <f t="shared" si="136"/>
        <v>0.46153846153846156</v>
      </c>
      <c r="L191" s="22">
        <f t="shared" si="137"/>
        <v>0.5</v>
      </c>
      <c r="P191" s="24"/>
      <c r="Q191" s="24"/>
      <c r="R191" s="24"/>
      <c r="S191" s="24"/>
    </row>
    <row r="192" spans="1:19" x14ac:dyDescent="0.15">
      <c r="A192" s="60">
        <v>96</v>
      </c>
      <c r="B192" s="21" t="s">
        <v>21</v>
      </c>
      <c r="C192" s="21">
        <f>[58]PARS_cds_stat!B192</f>
        <v>30</v>
      </c>
      <c r="D192" s="21">
        <f>[58]PARS_cds_stat!C192</f>
        <v>21</v>
      </c>
      <c r="E192" s="22">
        <f t="shared" ref="E192:F192" si="199">C192/(C192+C193)</f>
        <v>0.69767441860465118</v>
      </c>
      <c r="F192" s="22">
        <f t="shared" si="199"/>
        <v>0.46666666666666667</v>
      </c>
      <c r="I192" s="60">
        <v>96</v>
      </c>
      <c r="J192" s="17" t="s">
        <v>21</v>
      </c>
      <c r="K192" s="22">
        <f t="shared" si="136"/>
        <v>0.69767441860465118</v>
      </c>
      <c r="L192" s="22">
        <f t="shared" si="137"/>
        <v>0.46666666666666667</v>
      </c>
      <c r="P192" s="24"/>
      <c r="Q192" s="24"/>
      <c r="R192" s="24"/>
      <c r="S192" s="24"/>
    </row>
    <row r="193" spans="1:19" x14ac:dyDescent="0.15">
      <c r="A193" s="60"/>
      <c r="B193" s="21" t="s">
        <v>22</v>
      </c>
      <c r="C193" s="21">
        <f>[58]PARS_cds_stat!B193</f>
        <v>13</v>
      </c>
      <c r="D193" s="21">
        <f>[58]PARS_cds_stat!C193</f>
        <v>24</v>
      </c>
      <c r="E193" s="22">
        <f t="shared" ref="E193:F193" si="200">C193/(C192+C193)</f>
        <v>0.30232558139534882</v>
      </c>
      <c r="F193" s="22">
        <f t="shared" si="200"/>
        <v>0.53333333333333333</v>
      </c>
      <c r="I193" s="60"/>
      <c r="J193" s="17" t="s">
        <v>22</v>
      </c>
      <c r="K193" s="22">
        <f t="shared" si="136"/>
        <v>0.30232558139534882</v>
      </c>
      <c r="L193" s="22">
        <f t="shared" si="137"/>
        <v>0.53333333333333333</v>
      </c>
      <c r="P193" s="24"/>
      <c r="Q193" s="24"/>
      <c r="R193" s="24"/>
      <c r="S193" s="24"/>
    </row>
    <row r="194" spans="1:19" x14ac:dyDescent="0.15">
      <c r="A194" s="60">
        <v>97</v>
      </c>
      <c r="B194" s="21" t="s">
        <v>21</v>
      </c>
      <c r="C194" s="21">
        <f>[58]PARS_cds_stat!B194</f>
        <v>27</v>
      </c>
      <c r="D194" s="21">
        <f>[58]PARS_cds_stat!C194</f>
        <v>29</v>
      </c>
      <c r="E194" s="22">
        <f t="shared" ref="E194:F194" si="201">C194/(C194+C195)</f>
        <v>0.5625</v>
      </c>
      <c r="F194" s="22">
        <f t="shared" si="201"/>
        <v>0.61702127659574468</v>
      </c>
      <c r="I194" s="60">
        <v>97</v>
      </c>
      <c r="J194" s="17" t="s">
        <v>21</v>
      </c>
      <c r="K194" s="22">
        <f t="shared" ref="K194:K255" si="202">E194</f>
        <v>0.5625</v>
      </c>
      <c r="L194" s="22">
        <f t="shared" ref="L194:L255" si="203">F194</f>
        <v>0.61702127659574468</v>
      </c>
      <c r="P194" s="24"/>
      <c r="Q194" s="24"/>
      <c r="R194" s="24"/>
      <c r="S194" s="24"/>
    </row>
    <row r="195" spans="1:19" x14ac:dyDescent="0.15">
      <c r="A195" s="60"/>
      <c r="B195" s="21" t="s">
        <v>22</v>
      </c>
      <c r="C195" s="21">
        <f>[58]PARS_cds_stat!B195</f>
        <v>21</v>
      </c>
      <c r="D195" s="21">
        <f>[58]PARS_cds_stat!C195</f>
        <v>18</v>
      </c>
      <c r="E195" s="22">
        <f t="shared" ref="E195:F195" si="204">C195/(C194+C195)</f>
        <v>0.4375</v>
      </c>
      <c r="F195" s="22">
        <f t="shared" si="204"/>
        <v>0.38297872340425532</v>
      </c>
      <c r="I195" s="60"/>
      <c r="J195" s="17" t="s">
        <v>22</v>
      </c>
      <c r="K195" s="22">
        <f t="shared" si="202"/>
        <v>0.4375</v>
      </c>
      <c r="L195" s="22">
        <f t="shared" si="203"/>
        <v>0.38297872340425532</v>
      </c>
      <c r="P195" s="24"/>
      <c r="Q195" s="24"/>
      <c r="R195" s="24"/>
      <c r="S195" s="24"/>
    </row>
    <row r="196" spans="1:19" x14ac:dyDescent="0.15">
      <c r="A196" s="60">
        <v>98</v>
      </c>
      <c r="B196" s="21" t="s">
        <v>21</v>
      </c>
      <c r="C196" s="21">
        <f>[58]PARS_cds_stat!B196</f>
        <v>27</v>
      </c>
      <c r="D196" s="21">
        <f>[58]PARS_cds_stat!C196</f>
        <v>15</v>
      </c>
      <c r="E196" s="22">
        <f t="shared" ref="E196:F196" si="205">C196/(C196+C197)</f>
        <v>0.57446808510638303</v>
      </c>
      <c r="F196" s="22">
        <f t="shared" si="205"/>
        <v>0.5</v>
      </c>
      <c r="I196" s="60">
        <v>98</v>
      </c>
      <c r="J196" s="17" t="s">
        <v>21</v>
      </c>
      <c r="K196" s="22">
        <f t="shared" si="202"/>
        <v>0.57446808510638303</v>
      </c>
      <c r="L196" s="22">
        <f t="shared" si="203"/>
        <v>0.5</v>
      </c>
      <c r="P196" s="24"/>
      <c r="Q196" s="24"/>
      <c r="R196" s="24"/>
      <c r="S196" s="24"/>
    </row>
    <row r="197" spans="1:19" x14ac:dyDescent="0.15">
      <c r="A197" s="60"/>
      <c r="B197" s="21" t="s">
        <v>22</v>
      </c>
      <c r="C197" s="21">
        <f>[58]PARS_cds_stat!B197</f>
        <v>20</v>
      </c>
      <c r="D197" s="21">
        <f>[58]PARS_cds_stat!C197</f>
        <v>15</v>
      </c>
      <c r="E197" s="22">
        <f t="shared" ref="E197:F197" si="206">C197/(C196+C197)</f>
        <v>0.42553191489361702</v>
      </c>
      <c r="F197" s="22">
        <f t="shared" si="206"/>
        <v>0.5</v>
      </c>
      <c r="I197" s="60"/>
      <c r="J197" s="17" t="s">
        <v>22</v>
      </c>
      <c r="K197" s="22">
        <f t="shared" si="202"/>
        <v>0.42553191489361702</v>
      </c>
      <c r="L197" s="22">
        <f t="shared" si="203"/>
        <v>0.5</v>
      </c>
      <c r="P197" s="24"/>
      <c r="Q197" s="24"/>
      <c r="R197" s="24"/>
      <c r="S197" s="24"/>
    </row>
    <row r="198" spans="1:19" x14ac:dyDescent="0.15">
      <c r="A198" s="60">
        <v>99</v>
      </c>
      <c r="B198" s="21" t="s">
        <v>21</v>
      </c>
      <c r="C198" s="21">
        <f>[58]PARS_cds_stat!B198</f>
        <v>36</v>
      </c>
      <c r="D198" s="21">
        <f>[58]PARS_cds_stat!C198</f>
        <v>16</v>
      </c>
      <c r="E198" s="22">
        <f t="shared" ref="E198:F198" si="207">C198/(C198+C199)</f>
        <v>0.70588235294117652</v>
      </c>
      <c r="F198" s="22">
        <f t="shared" si="207"/>
        <v>0.43243243243243246</v>
      </c>
      <c r="I198" s="60">
        <v>99</v>
      </c>
      <c r="J198" s="17" t="s">
        <v>21</v>
      </c>
      <c r="K198" s="22">
        <f t="shared" si="202"/>
        <v>0.70588235294117652</v>
      </c>
      <c r="L198" s="22">
        <f t="shared" si="203"/>
        <v>0.43243243243243246</v>
      </c>
      <c r="P198" s="24"/>
      <c r="Q198" s="24"/>
      <c r="R198" s="24"/>
      <c r="S198" s="24"/>
    </row>
    <row r="199" spans="1:19" x14ac:dyDescent="0.15">
      <c r="A199" s="60"/>
      <c r="B199" s="21" t="s">
        <v>22</v>
      </c>
      <c r="C199" s="21">
        <f>[58]PARS_cds_stat!B199</f>
        <v>15</v>
      </c>
      <c r="D199" s="21">
        <f>[58]PARS_cds_stat!C199</f>
        <v>21</v>
      </c>
      <c r="E199" s="22">
        <f t="shared" ref="E199:F199" si="208">C199/(C198+C199)</f>
        <v>0.29411764705882354</v>
      </c>
      <c r="F199" s="22">
        <f t="shared" si="208"/>
        <v>0.56756756756756754</v>
      </c>
      <c r="I199" s="60"/>
      <c r="J199" s="17" t="s">
        <v>22</v>
      </c>
      <c r="K199" s="22">
        <f t="shared" si="202"/>
        <v>0.29411764705882354</v>
      </c>
      <c r="L199" s="22">
        <f t="shared" si="203"/>
        <v>0.56756756756756754</v>
      </c>
      <c r="P199" s="24"/>
      <c r="Q199" s="24"/>
      <c r="R199" s="24"/>
      <c r="S199" s="24"/>
    </row>
    <row r="200" spans="1:19" x14ac:dyDescent="0.15">
      <c r="A200" s="60">
        <v>100</v>
      </c>
      <c r="B200" s="21" t="s">
        <v>21</v>
      </c>
      <c r="C200" s="21">
        <f>[58]PARS_cds_stat!B200</f>
        <v>34</v>
      </c>
      <c r="D200" s="21">
        <f>[58]PARS_cds_stat!C200</f>
        <v>19</v>
      </c>
      <c r="E200" s="22">
        <f t="shared" ref="E200:F200" si="209">C200/(C200+C201)</f>
        <v>0.69387755102040816</v>
      </c>
      <c r="F200" s="22">
        <f t="shared" si="209"/>
        <v>0.5</v>
      </c>
      <c r="I200" s="60">
        <v>100</v>
      </c>
      <c r="J200" s="17" t="s">
        <v>21</v>
      </c>
      <c r="K200" s="22">
        <f t="shared" si="202"/>
        <v>0.69387755102040816</v>
      </c>
      <c r="L200" s="22">
        <f t="shared" si="203"/>
        <v>0.5</v>
      </c>
      <c r="P200" s="24"/>
      <c r="Q200" s="24"/>
      <c r="R200" s="24"/>
      <c r="S200" s="24"/>
    </row>
    <row r="201" spans="1:19" x14ac:dyDescent="0.15">
      <c r="A201" s="60"/>
      <c r="B201" s="21" t="s">
        <v>22</v>
      </c>
      <c r="C201" s="21">
        <f>[58]PARS_cds_stat!B201</f>
        <v>15</v>
      </c>
      <c r="D201" s="21">
        <f>[58]PARS_cds_stat!C201</f>
        <v>19</v>
      </c>
      <c r="E201" s="22">
        <f t="shared" ref="E201:F201" si="210">C201/(C200+C201)</f>
        <v>0.30612244897959184</v>
      </c>
      <c r="F201" s="22">
        <f t="shared" si="210"/>
        <v>0.5</v>
      </c>
      <c r="I201" s="60"/>
      <c r="J201" s="17" t="s">
        <v>22</v>
      </c>
      <c r="K201" s="22">
        <f t="shared" si="202"/>
        <v>0.30612244897959184</v>
      </c>
      <c r="L201" s="22">
        <f t="shared" si="203"/>
        <v>0.5</v>
      </c>
      <c r="P201" s="24"/>
      <c r="Q201" s="24"/>
      <c r="R201" s="24"/>
      <c r="S201" s="24"/>
    </row>
    <row r="202" spans="1:19" x14ac:dyDescent="0.15">
      <c r="A202" s="60">
        <v>101</v>
      </c>
      <c r="B202" s="21" t="s">
        <v>21</v>
      </c>
      <c r="C202" s="21">
        <f>[58]PARS_cds_stat!B202</f>
        <v>23</v>
      </c>
      <c r="D202" s="21">
        <f>[58]PARS_cds_stat!C202</f>
        <v>30</v>
      </c>
      <c r="E202" s="22">
        <f t="shared" ref="E202:F202" si="211">C202/(C202+C203)</f>
        <v>0.6216216216216216</v>
      </c>
      <c r="F202" s="22">
        <f t="shared" si="211"/>
        <v>0.5357142857142857</v>
      </c>
      <c r="I202" s="60">
        <v>101</v>
      </c>
      <c r="J202" s="17" t="s">
        <v>21</v>
      </c>
      <c r="K202" s="22">
        <f t="shared" si="202"/>
        <v>0.6216216216216216</v>
      </c>
      <c r="L202" s="22">
        <f t="shared" si="203"/>
        <v>0.5357142857142857</v>
      </c>
      <c r="P202" s="24"/>
      <c r="Q202" s="24"/>
      <c r="R202" s="24"/>
      <c r="S202" s="24"/>
    </row>
    <row r="203" spans="1:19" x14ac:dyDescent="0.15">
      <c r="A203" s="60"/>
      <c r="B203" s="21" t="s">
        <v>22</v>
      </c>
      <c r="C203" s="21">
        <f>[58]PARS_cds_stat!B203</f>
        <v>14</v>
      </c>
      <c r="D203" s="21">
        <f>[58]PARS_cds_stat!C203</f>
        <v>26</v>
      </c>
      <c r="E203" s="22">
        <f t="shared" ref="E203:F203" si="212">C203/(C202+C203)</f>
        <v>0.3783783783783784</v>
      </c>
      <c r="F203" s="22">
        <f t="shared" si="212"/>
        <v>0.4642857142857143</v>
      </c>
      <c r="I203" s="60"/>
      <c r="J203" s="17" t="s">
        <v>22</v>
      </c>
      <c r="K203" s="22">
        <f t="shared" si="202"/>
        <v>0.3783783783783784</v>
      </c>
      <c r="L203" s="22">
        <f t="shared" si="203"/>
        <v>0.4642857142857143</v>
      </c>
      <c r="P203" s="24"/>
      <c r="Q203" s="24"/>
      <c r="R203" s="24"/>
      <c r="S203" s="24"/>
    </row>
    <row r="204" spans="1:19" x14ac:dyDescent="0.15">
      <c r="A204" s="60">
        <v>102</v>
      </c>
      <c r="B204" s="21" t="s">
        <v>21</v>
      </c>
      <c r="C204" s="21">
        <f>[58]PARS_cds_stat!B204</f>
        <v>31</v>
      </c>
      <c r="D204" s="21">
        <f>[58]PARS_cds_stat!C204</f>
        <v>24</v>
      </c>
      <c r="E204" s="22">
        <f t="shared" ref="E204:F204" si="213">C204/(C204+C205)</f>
        <v>0.5535714285714286</v>
      </c>
      <c r="F204" s="22">
        <f t="shared" si="213"/>
        <v>0.52173913043478259</v>
      </c>
      <c r="I204" s="60">
        <v>102</v>
      </c>
      <c r="J204" s="17" t="s">
        <v>21</v>
      </c>
      <c r="K204" s="22">
        <f t="shared" si="202"/>
        <v>0.5535714285714286</v>
      </c>
      <c r="L204" s="22">
        <f t="shared" si="203"/>
        <v>0.52173913043478259</v>
      </c>
      <c r="P204" s="24"/>
      <c r="Q204" s="24"/>
      <c r="R204" s="24"/>
      <c r="S204" s="24"/>
    </row>
    <row r="205" spans="1:19" x14ac:dyDescent="0.15">
      <c r="A205" s="60"/>
      <c r="B205" s="21" t="s">
        <v>22</v>
      </c>
      <c r="C205" s="21">
        <f>[58]PARS_cds_stat!B205</f>
        <v>25</v>
      </c>
      <c r="D205" s="21">
        <f>[58]PARS_cds_stat!C205</f>
        <v>22</v>
      </c>
      <c r="E205" s="22">
        <f t="shared" ref="E205:F205" si="214">C205/(C204+C205)</f>
        <v>0.44642857142857145</v>
      </c>
      <c r="F205" s="22">
        <f t="shared" si="214"/>
        <v>0.47826086956521741</v>
      </c>
      <c r="I205" s="60"/>
      <c r="J205" s="17" t="s">
        <v>22</v>
      </c>
      <c r="K205" s="22">
        <f t="shared" si="202"/>
        <v>0.44642857142857145</v>
      </c>
      <c r="L205" s="22">
        <f t="shared" si="203"/>
        <v>0.47826086956521741</v>
      </c>
      <c r="P205" s="24"/>
      <c r="Q205" s="24"/>
      <c r="R205" s="24"/>
      <c r="S205" s="24"/>
    </row>
    <row r="206" spans="1:19" x14ac:dyDescent="0.15">
      <c r="A206" s="60">
        <v>103</v>
      </c>
      <c r="B206" s="21" t="s">
        <v>21</v>
      </c>
      <c r="C206" s="21">
        <f>[58]PARS_cds_stat!B206</f>
        <v>32</v>
      </c>
      <c r="D206" s="21">
        <f>[58]PARS_cds_stat!C206</f>
        <v>26</v>
      </c>
      <c r="E206" s="22">
        <f t="shared" ref="E206:F206" si="215">C206/(C206+C207)</f>
        <v>0.62745098039215685</v>
      </c>
      <c r="F206" s="22">
        <f t="shared" si="215"/>
        <v>0.57777777777777772</v>
      </c>
      <c r="I206" s="60">
        <v>103</v>
      </c>
      <c r="J206" s="17" t="s">
        <v>21</v>
      </c>
      <c r="K206" s="22">
        <f t="shared" si="202"/>
        <v>0.62745098039215685</v>
      </c>
      <c r="L206" s="22">
        <f t="shared" si="203"/>
        <v>0.57777777777777772</v>
      </c>
      <c r="P206" s="24"/>
      <c r="Q206" s="24"/>
      <c r="R206" s="24"/>
      <c r="S206" s="24"/>
    </row>
    <row r="207" spans="1:19" x14ac:dyDescent="0.15">
      <c r="A207" s="60"/>
      <c r="B207" s="21" t="s">
        <v>22</v>
      </c>
      <c r="C207" s="21">
        <f>[58]PARS_cds_stat!B207</f>
        <v>19</v>
      </c>
      <c r="D207" s="21">
        <f>[58]PARS_cds_stat!C207</f>
        <v>19</v>
      </c>
      <c r="E207" s="22">
        <f t="shared" ref="E207:F207" si="216">C207/(C206+C207)</f>
        <v>0.37254901960784315</v>
      </c>
      <c r="F207" s="22">
        <f t="shared" si="216"/>
        <v>0.42222222222222222</v>
      </c>
      <c r="I207" s="60"/>
      <c r="J207" s="17" t="s">
        <v>22</v>
      </c>
      <c r="K207" s="22">
        <f t="shared" si="202"/>
        <v>0.37254901960784315</v>
      </c>
      <c r="L207" s="22">
        <f t="shared" si="203"/>
        <v>0.42222222222222222</v>
      </c>
      <c r="P207" s="24"/>
      <c r="Q207" s="24"/>
      <c r="R207" s="24"/>
      <c r="S207" s="24"/>
    </row>
    <row r="208" spans="1:19" x14ac:dyDescent="0.15">
      <c r="A208" s="60">
        <v>104</v>
      </c>
      <c r="B208" s="21" t="s">
        <v>21</v>
      </c>
      <c r="C208" s="21">
        <f>[58]PARS_cds_stat!B208</f>
        <v>31</v>
      </c>
      <c r="D208" s="21">
        <f>[58]PARS_cds_stat!C208</f>
        <v>28</v>
      </c>
      <c r="E208" s="22">
        <f t="shared" ref="E208:F208" si="217">C208/(C208+C209)</f>
        <v>0.5636363636363636</v>
      </c>
      <c r="F208" s="22">
        <f t="shared" si="217"/>
        <v>0.56000000000000005</v>
      </c>
      <c r="I208" s="60">
        <v>104</v>
      </c>
      <c r="J208" s="17" t="s">
        <v>21</v>
      </c>
      <c r="K208" s="22">
        <f t="shared" si="202"/>
        <v>0.5636363636363636</v>
      </c>
      <c r="L208" s="22">
        <f t="shared" si="203"/>
        <v>0.56000000000000005</v>
      </c>
      <c r="P208" s="24"/>
      <c r="Q208" s="24"/>
      <c r="R208" s="24"/>
      <c r="S208" s="24"/>
    </row>
    <row r="209" spans="1:19" x14ac:dyDescent="0.15">
      <c r="A209" s="60"/>
      <c r="B209" s="21" t="s">
        <v>22</v>
      </c>
      <c r="C209" s="21">
        <f>[58]PARS_cds_stat!B209</f>
        <v>24</v>
      </c>
      <c r="D209" s="21">
        <f>[58]PARS_cds_stat!C209</f>
        <v>22</v>
      </c>
      <c r="E209" s="22">
        <f t="shared" ref="E209:F209" si="218">C209/(C208+C209)</f>
        <v>0.43636363636363634</v>
      </c>
      <c r="F209" s="22">
        <f t="shared" si="218"/>
        <v>0.44</v>
      </c>
      <c r="I209" s="60"/>
      <c r="J209" s="17" t="s">
        <v>22</v>
      </c>
      <c r="K209" s="22">
        <f t="shared" si="202"/>
        <v>0.43636363636363634</v>
      </c>
      <c r="L209" s="22">
        <f t="shared" si="203"/>
        <v>0.44</v>
      </c>
      <c r="P209" s="24"/>
      <c r="Q209" s="24"/>
      <c r="R209" s="24"/>
      <c r="S209" s="24"/>
    </row>
    <row r="210" spans="1:19" x14ac:dyDescent="0.15">
      <c r="A210" s="60">
        <v>105</v>
      </c>
      <c r="B210" s="21" t="s">
        <v>21</v>
      </c>
      <c r="C210" s="21">
        <f>[58]PARS_cds_stat!B210</f>
        <v>20</v>
      </c>
      <c r="D210" s="21">
        <f>[58]PARS_cds_stat!C210</f>
        <v>21</v>
      </c>
      <c r="E210" s="22">
        <f t="shared" ref="E210:F210" si="219">C210/(C210+C211)</f>
        <v>0.51282051282051277</v>
      </c>
      <c r="F210" s="22">
        <f t="shared" si="219"/>
        <v>0.55263157894736847</v>
      </c>
      <c r="I210" s="60">
        <v>105</v>
      </c>
      <c r="J210" s="17" t="s">
        <v>21</v>
      </c>
      <c r="K210" s="22">
        <f t="shared" si="202"/>
        <v>0.51282051282051277</v>
      </c>
      <c r="L210" s="22">
        <f t="shared" si="203"/>
        <v>0.55263157894736847</v>
      </c>
      <c r="P210" s="24"/>
      <c r="Q210" s="24"/>
      <c r="R210" s="24"/>
      <c r="S210" s="24"/>
    </row>
    <row r="211" spans="1:19" x14ac:dyDescent="0.15">
      <c r="A211" s="60"/>
      <c r="B211" s="21" t="s">
        <v>22</v>
      </c>
      <c r="C211" s="21">
        <f>[58]PARS_cds_stat!B211</f>
        <v>19</v>
      </c>
      <c r="D211" s="21">
        <f>[58]PARS_cds_stat!C211</f>
        <v>17</v>
      </c>
      <c r="E211" s="22">
        <f t="shared" ref="E211:F211" si="220">C211/(C210+C211)</f>
        <v>0.48717948717948717</v>
      </c>
      <c r="F211" s="22">
        <f t="shared" si="220"/>
        <v>0.44736842105263158</v>
      </c>
      <c r="I211" s="60"/>
      <c r="J211" s="17" t="s">
        <v>22</v>
      </c>
      <c r="K211" s="22">
        <f t="shared" si="202"/>
        <v>0.48717948717948717</v>
      </c>
      <c r="L211" s="22">
        <f t="shared" si="203"/>
        <v>0.44736842105263158</v>
      </c>
      <c r="P211" s="24"/>
      <c r="Q211" s="24"/>
      <c r="R211" s="24"/>
      <c r="S211" s="24"/>
    </row>
    <row r="212" spans="1:19" x14ac:dyDescent="0.15">
      <c r="A212" s="60">
        <v>106</v>
      </c>
      <c r="B212" s="21" t="s">
        <v>21</v>
      </c>
      <c r="C212" s="21">
        <f>[58]PARS_cds_stat!B212</f>
        <v>31</v>
      </c>
      <c r="D212" s="21">
        <f>[58]PARS_cds_stat!C212</f>
        <v>25</v>
      </c>
      <c r="E212" s="22">
        <f t="shared" ref="E212:F212" si="221">C212/(C212+C213)</f>
        <v>0.70454545454545459</v>
      </c>
      <c r="F212" s="22">
        <f t="shared" si="221"/>
        <v>0.56818181818181823</v>
      </c>
      <c r="I212" s="60">
        <v>106</v>
      </c>
      <c r="J212" s="17" t="s">
        <v>21</v>
      </c>
      <c r="K212" s="22">
        <f t="shared" si="202"/>
        <v>0.70454545454545459</v>
      </c>
      <c r="L212" s="22">
        <f t="shared" si="203"/>
        <v>0.56818181818181823</v>
      </c>
      <c r="P212" s="24"/>
      <c r="Q212" s="24"/>
      <c r="R212" s="24"/>
      <c r="S212" s="24"/>
    </row>
    <row r="213" spans="1:19" x14ac:dyDescent="0.15">
      <c r="A213" s="60"/>
      <c r="B213" s="21" t="s">
        <v>22</v>
      </c>
      <c r="C213" s="21">
        <f>[58]PARS_cds_stat!B213</f>
        <v>13</v>
      </c>
      <c r="D213" s="21">
        <f>[58]PARS_cds_stat!C213</f>
        <v>19</v>
      </c>
      <c r="E213" s="22">
        <f t="shared" ref="E213:F213" si="222">C213/(C212+C213)</f>
        <v>0.29545454545454547</v>
      </c>
      <c r="F213" s="22">
        <f t="shared" si="222"/>
        <v>0.43181818181818182</v>
      </c>
      <c r="I213" s="60"/>
      <c r="J213" s="17" t="s">
        <v>22</v>
      </c>
      <c r="K213" s="22">
        <f t="shared" si="202"/>
        <v>0.29545454545454547</v>
      </c>
      <c r="L213" s="22">
        <f t="shared" si="203"/>
        <v>0.43181818181818182</v>
      </c>
      <c r="P213" s="24"/>
      <c r="Q213" s="24"/>
      <c r="R213" s="24"/>
      <c r="S213" s="24"/>
    </row>
    <row r="214" spans="1:19" x14ac:dyDescent="0.15">
      <c r="A214" s="60">
        <v>107</v>
      </c>
      <c r="B214" s="21" t="s">
        <v>21</v>
      </c>
      <c r="C214" s="21">
        <f>[58]PARS_cds_stat!B214</f>
        <v>37</v>
      </c>
      <c r="D214" s="21">
        <f>[58]PARS_cds_stat!C214</f>
        <v>20</v>
      </c>
      <c r="E214" s="22">
        <f t="shared" ref="E214:F214" si="223">C214/(C214+C215)</f>
        <v>0.67272727272727273</v>
      </c>
      <c r="F214" s="22">
        <f t="shared" si="223"/>
        <v>0.66666666666666663</v>
      </c>
      <c r="I214" s="60">
        <v>107</v>
      </c>
      <c r="J214" s="17" t="s">
        <v>21</v>
      </c>
      <c r="K214" s="22">
        <f t="shared" si="202"/>
        <v>0.67272727272727273</v>
      </c>
      <c r="L214" s="22">
        <f t="shared" si="203"/>
        <v>0.66666666666666663</v>
      </c>
      <c r="P214" s="24"/>
      <c r="Q214" s="24"/>
      <c r="R214" s="24"/>
      <c r="S214" s="24"/>
    </row>
    <row r="215" spans="1:19" x14ac:dyDescent="0.15">
      <c r="A215" s="60"/>
      <c r="B215" s="21" t="s">
        <v>22</v>
      </c>
      <c r="C215" s="21">
        <f>[58]PARS_cds_stat!B215</f>
        <v>18</v>
      </c>
      <c r="D215" s="21">
        <f>[58]PARS_cds_stat!C215</f>
        <v>10</v>
      </c>
      <c r="E215" s="22">
        <f t="shared" ref="E215:F215" si="224">C215/(C214+C215)</f>
        <v>0.32727272727272727</v>
      </c>
      <c r="F215" s="22">
        <f t="shared" si="224"/>
        <v>0.33333333333333331</v>
      </c>
      <c r="I215" s="60"/>
      <c r="J215" s="17" t="s">
        <v>22</v>
      </c>
      <c r="K215" s="22">
        <f t="shared" si="202"/>
        <v>0.32727272727272727</v>
      </c>
      <c r="L215" s="22">
        <f t="shared" si="203"/>
        <v>0.33333333333333331</v>
      </c>
      <c r="P215" s="24"/>
      <c r="Q215" s="24"/>
      <c r="R215" s="24"/>
      <c r="S215" s="24"/>
    </row>
    <row r="216" spans="1:19" x14ac:dyDescent="0.15">
      <c r="A216" s="60">
        <v>108</v>
      </c>
      <c r="B216" s="21" t="s">
        <v>21</v>
      </c>
      <c r="C216" s="21">
        <f>[58]PARS_cds_stat!B216</f>
        <v>30</v>
      </c>
      <c r="D216" s="21">
        <f>[58]PARS_cds_stat!C216</f>
        <v>21</v>
      </c>
      <c r="E216" s="22">
        <f t="shared" ref="E216:F216" si="225">C216/(C216+C217)</f>
        <v>0.66666666666666663</v>
      </c>
      <c r="F216" s="22">
        <f t="shared" si="225"/>
        <v>0.61764705882352944</v>
      </c>
      <c r="I216" s="60">
        <v>108</v>
      </c>
      <c r="J216" s="17" t="s">
        <v>21</v>
      </c>
      <c r="K216" s="22">
        <f t="shared" si="202"/>
        <v>0.66666666666666663</v>
      </c>
      <c r="L216" s="22">
        <f t="shared" si="203"/>
        <v>0.61764705882352944</v>
      </c>
      <c r="P216" s="24"/>
      <c r="Q216" s="24"/>
      <c r="R216" s="24"/>
      <c r="S216" s="24"/>
    </row>
    <row r="217" spans="1:19" x14ac:dyDescent="0.15">
      <c r="A217" s="60"/>
      <c r="B217" s="21" t="s">
        <v>22</v>
      </c>
      <c r="C217" s="21">
        <f>[58]PARS_cds_stat!B217</f>
        <v>15</v>
      </c>
      <c r="D217" s="21">
        <f>[58]PARS_cds_stat!C217</f>
        <v>13</v>
      </c>
      <c r="E217" s="22">
        <f t="shared" ref="E217:F217" si="226">C217/(C216+C217)</f>
        <v>0.33333333333333331</v>
      </c>
      <c r="F217" s="22">
        <f t="shared" si="226"/>
        <v>0.38235294117647056</v>
      </c>
      <c r="I217" s="60"/>
      <c r="J217" s="17" t="s">
        <v>22</v>
      </c>
      <c r="K217" s="22">
        <f t="shared" si="202"/>
        <v>0.33333333333333331</v>
      </c>
      <c r="L217" s="22">
        <f t="shared" si="203"/>
        <v>0.38235294117647056</v>
      </c>
      <c r="P217" s="24"/>
      <c r="Q217" s="24"/>
      <c r="R217" s="24"/>
      <c r="S217" s="24"/>
    </row>
    <row r="218" spans="1:19" x14ac:dyDescent="0.15">
      <c r="A218" s="60">
        <v>109</v>
      </c>
      <c r="B218" s="21" t="s">
        <v>21</v>
      </c>
      <c r="C218" s="21">
        <f>[58]PARS_cds_stat!B218</f>
        <v>36</v>
      </c>
      <c r="D218" s="21">
        <f>[58]PARS_cds_stat!C218</f>
        <v>26</v>
      </c>
      <c r="E218" s="22">
        <f t="shared" ref="E218:F218" si="227">C218/(C218+C219)</f>
        <v>0.58064516129032262</v>
      </c>
      <c r="F218" s="22">
        <f t="shared" si="227"/>
        <v>0.59090909090909094</v>
      </c>
      <c r="I218" s="60">
        <v>109</v>
      </c>
      <c r="J218" s="17" t="s">
        <v>21</v>
      </c>
      <c r="K218" s="22">
        <f t="shared" si="202"/>
        <v>0.58064516129032262</v>
      </c>
      <c r="L218" s="22">
        <f t="shared" si="203"/>
        <v>0.59090909090909094</v>
      </c>
      <c r="P218" s="24"/>
      <c r="Q218" s="24"/>
      <c r="R218" s="24"/>
      <c r="S218" s="24"/>
    </row>
    <row r="219" spans="1:19" x14ac:dyDescent="0.15">
      <c r="A219" s="60"/>
      <c r="B219" s="21" t="s">
        <v>22</v>
      </c>
      <c r="C219" s="21">
        <f>[58]PARS_cds_stat!B219</f>
        <v>26</v>
      </c>
      <c r="D219" s="21">
        <f>[58]PARS_cds_stat!C219</f>
        <v>18</v>
      </c>
      <c r="E219" s="22">
        <f t="shared" ref="E219:F219" si="228">C219/(C218+C219)</f>
        <v>0.41935483870967744</v>
      </c>
      <c r="F219" s="22">
        <f t="shared" si="228"/>
        <v>0.40909090909090912</v>
      </c>
      <c r="I219" s="60"/>
      <c r="J219" s="17" t="s">
        <v>22</v>
      </c>
      <c r="K219" s="22">
        <f t="shared" si="202"/>
        <v>0.41935483870967744</v>
      </c>
      <c r="L219" s="22">
        <f t="shared" si="203"/>
        <v>0.40909090909090912</v>
      </c>
      <c r="P219" s="24"/>
      <c r="Q219" s="24"/>
      <c r="R219" s="24"/>
      <c r="S219" s="24"/>
    </row>
    <row r="220" spans="1:19" x14ac:dyDescent="0.15">
      <c r="A220" s="60">
        <v>110</v>
      </c>
      <c r="B220" s="21" t="s">
        <v>21</v>
      </c>
      <c r="C220" s="21">
        <f>[58]PARS_cds_stat!B220</f>
        <v>29</v>
      </c>
      <c r="D220" s="21">
        <f>[58]PARS_cds_stat!C220</f>
        <v>21</v>
      </c>
      <c r="E220" s="22">
        <f t="shared" ref="E220:F220" si="229">C220/(C220+C221)</f>
        <v>0.54716981132075471</v>
      </c>
      <c r="F220" s="22">
        <f t="shared" si="229"/>
        <v>0.55263157894736847</v>
      </c>
      <c r="I220" s="60">
        <v>110</v>
      </c>
      <c r="J220" s="17" t="s">
        <v>21</v>
      </c>
      <c r="K220" s="22">
        <f t="shared" si="202"/>
        <v>0.54716981132075471</v>
      </c>
      <c r="L220" s="22">
        <f t="shared" si="203"/>
        <v>0.55263157894736847</v>
      </c>
      <c r="P220" s="24"/>
      <c r="Q220" s="24"/>
      <c r="R220" s="24"/>
      <c r="S220" s="24"/>
    </row>
    <row r="221" spans="1:19" x14ac:dyDescent="0.15">
      <c r="A221" s="60"/>
      <c r="B221" s="21" t="s">
        <v>22</v>
      </c>
      <c r="C221" s="21">
        <f>[58]PARS_cds_stat!B221</f>
        <v>24</v>
      </c>
      <c r="D221" s="21">
        <f>[58]PARS_cds_stat!C221</f>
        <v>17</v>
      </c>
      <c r="E221" s="22">
        <f t="shared" ref="E221:F221" si="230">C221/(C220+C221)</f>
        <v>0.45283018867924529</v>
      </c>
      <c r="F221" s="22">
        <f t="shared" si="230"/>
        <v>0.44736842105263158</v>
      </c>
      <c r="I221" s="60"/>
      <c r="J221" s="17" t="s">
        <v>22</v>
      </c>
      <c r="K221" s="22">
        <f t="shared" si="202"/>
        <v>0.45283018867924529</v>
      </c>
      <c r="L221" s="22">
        <f t="shared" si="203"/>
        <v>0.44736842105263158</v>
      </c>
      <c r="P221" s="24"/>
      <c r="Q221" s="24"/>
      <c r="R221" s="24"/>
      <c r="S221" s="24"/>
    </row>
    <row r="222" spans="1:19" x14ac:dyDescent="0.15">
      <c r="A222" s="60">
        <v>111</v>
      </c>
      <c r="B222" s="21" t="s">
        <v>21</v>
      </c>
      <c r="C222" s="21">
        <f>[58]PARS_cds_stat!B222</f>
        <v>46</v>
      </c>
      <c r="D222" s="21">
        <f>[58]PARS_cds_stat!C222</f>
        <v>28</v>
      </c>
      <c r="E222" s="22">
        <f t="shared" ref="E222:F222" si="231">C222/(C222+C223)</f>
        <v>0.76666666666666672</v>
      </c>
      <c r="F222" s="22">
        <f t="shared" si="231"/>
        <v>0.53846153846153844</v>
      </c>
      <c r="I222" s="60">
        <v>111</v>
      </c>
      <c r="J222" s="17" t="s">
        <v>21</v>
      </c>
      <c r="K222" s="22">
        <f t="shared" si="202"/>
        <v>0.76666666666666672</v>
      </c>
      <c r="L222" s="22">
        <f t="shared" si="203"/>
        <v>0.53846153846153844</v>
      </c>
      <c r="P222" s="24"/>
      <c r="Q222" s="24"/>
      <c r="R222" s="24"/>
      <c r="S222" s="24"/>
    </row>
    <row r="223" spans="1:19" x14ac:dyDescent="0.15">
      <c r="A223" s="60"/>
      <c r="B223" s="21" t="s">
        <v>22</v>
      </c>
      <c r="C223" s="21">
        <f>[58]PARS_cds_stat!B223</f>
        <v>14</v>
      </c>
      <c r="D223" s="21">
        <f>[58]PARS_cds_stat!C223</f>
        <v>24</v>
      </c>
      <c r="E223" s="22">
        <f t="shared" ref="E223:F223" si="232">C223/(C222+C223)</f>
        <v>0.23333333333333334</v>
      </c>
      <c r="F223" s="22">
        <f t="shared" si="232"/>
        <v>0.46153846153846156</v>
      </c>
      <c r="I223" s="60"/>
      <c r="J223" s="17" t="s">
        <v>22</v>
      </c>
      <c r="K223" s="22">
        <f t="shared" si="202"/>
        <v>0.23333333333333334</v>
      </c>
      <c r="L223" s="22">
        <f t="shared" si="203"/>
        <v>0.46153846153846156</v>
      </c>
      <c r="P223" s="24"/>
      <c r="Q223" s="24"/>
      <c r="R223" s="24"/>
      <c r="S223" s="24"/>
    </row>
    <row r="224" spans="1:19" x14ac:dyDescent="0.15">
      <c r="A224" s="60">
        <v>112</v>
      </c>
      <c r="B224" s="21" t="s">
        <v>21</v>
      </c>
      <c r="C224" s="21">
        <f>[58]PARS_cds_stat!B224</f>
        <v>50</v>
      </c>
      <c r="D224" s="21">
        <f>[58]PARS_cds_stat!C224</f>
        <v>23</v>
      </c>
      <c r="E224" s="22">
        <f t="shared" ref="E224:F224" si="233">C224/(C224+C225)</f>
        <v>0.66666666666666663</v>
      </c>
      <c r="F224" s="22">
        <f t="shared" si="233"/>
        <v>0.46938775510204084</v>
      </c>
      <c r="I224" s="60">
        <v>112</v>
      </c>
      <c r="J224" s="17" t="s">
        <v>21</v>
      </c>
      <c r="K224" s="22">
        <f t="shared" si="202"/>
        <v>0.66666666666666663</v>
      </c>
      <c r="L224" s="22">
        <f t="shared" si="203"/>
        <v>0.46938775510204084</v>
      </c>
      <c r="P224" s="24"/>
      <c r="Q224" s="24"/>
      <c r="R224" s="24"/>
      <c r="S224" s="24"/>
    </row>
    <row r="225" spans="1:19" x14ac:dyDescent="0.15">
      <c r="A225" s="60"/>
      <c r="B225" s="21" t="s">
        <v>22</v>
      </c>
      <c r="C225" s="21">
        <f>[58]PARS_cds_stat!B225</f>
        <v>25</v>
      </c>
      <c r="D225" s="21">
        <f>[58]PARS_cds_stat!C225</f>
        <v>26</v>
      </c>
      <c r="E225" s="22">
        <f t="shared" ref="E225:F225" si="234">C225/(C224+C225)</f>
        <v>0.33333333333333331</v>
      </c>
      <c r="F225" s="22">
        <f t="shared" si="234"/>
        <v>0.53061224489795922</v>
      </c>
      <c r="I225" s="60"/>
      <c r="J225" s="17" t="s">
        <v>22</v>
      </c>
      <c r="K225" s="22">
        <f t="shared" si="202"/>
        <v>0.33333333333333331</v>
      </c>
      <c r="L225" s="22">
        <f t="shared" si="203"/>
        <v>0.53061224489795922</v>
      </c>
      <c r="P225" s="24"/>
      <c r="Q225" s="24"/>
      <c r="R225" s="24"/>
      <c r="S225" s="24"/>
    </row>
    <row r="226" spans="1:19" x14ac:dyDescent="0.15">
      <c r="A226" s="60">
        <v>113</v>
      </c>
      <c r="B226" s="21" t="s">
        <v>21</v>
      </c>
      <c r="C226" s="21">
        <f>[58]PARS_cds_stat!B226</f>
        <v>40</v>
      </c>
      <c r="D226" s="21">
        <f>[58]PARS_cds_stat!C226</f>
        <v>31</v>
      </c>
      <c r="E226" s="22">
        <f t="shared" ref="E226:F226" si="235">C226/(C226+C227)</f>
        <v>0.61538461538461542</v>
      </c>
      <c r="F226" s="22">
        <f t="shared" si="235"/>
        <v>0.68888888888888888</v>
      </c>
      <c r="I226" s="60">
        <v>113</v>
      </c>
      <c r="J226" s="17" t="s">
        <v>21</v>
      </c>
      <c r="K226" s="22">
        <f t="shared" si="202"/>
        <v>0.61538461538461542</v>
      </c>
      <c r="L226" s="22">
        <f t="shared" si="203"/>
        <v>0.68888888888888888</v>
      </c>
      <c r="P226" s="24"/>
      <c r="Q226" s="24"/>
      <c r="R226" s="24"/>
      <c r="S226" s="24"/>
    </row>
    <row r="227" spans="1:19" x14ac:dyDescent="0.15">
      <c r="A227" s="60"/>
      <c r="B227" s="21" t="s">
        <v>22</v>
      </c>
      <c r="C227" s="21">
        <f>[58]PARS_cds_stat!B227</f>
        <v>25</v>
      </c>
      <c r="D227" s="21">
        <f>[58]PARS_cds_stat!C227</f>
        <v>14</v>
      </c>
      <c r="E227" s="22">
        <f t="shared" ref="E227:F227" si="236">C227/(C226+C227)</f>
        <v>0.38461538461538464</v>
      </c>
      <c r="F227" s="22">
        <f t="shared" si="236"/>
        <v>0.31111111111111112</v>
      </c>
      <c r="I227" s="60"/>
      <c r="J227" s="17" t="s">
        <v>22</v>
      </c>
      <c r="K227" s="22">
        <f t="shared" si="202"/>
        <v>0.38461538461538464</v>
      </c>
      <c r="L227" s="22">
        <f t="shared" si="203"/>
        <v>0.31111111111111112</v>
      </c>
      <c r="P227" s="24"/>
      <c r="Q227" s="24"/>
      <c r="R227" s="24"/>
      <c r="S227" s="24"/>
    </row>
    <row r="228" spans="1:19" x14ac:dyDescent="0.15">
      <c r="A228" s="60">
        <v>114</v>
      </c>
      <c r="B228" s="21" t="s">
        <v>21</v>
      </c>
      <c r="C228" s="21">
        <f>[58]PARS_cds_stat!B228</f>
        <v>54</v>
      </c>
      <c r="D228" s="21">
        <f>[58]PARS_cds_stat!C228</f>
        <v>31</v>
      </c>
      <c r="E228" s="22">
        <f t="shared" ref="E228:F228" si="237">C228/(C228+C229)</f>
        <v>0.6</v>
      </c>
      <c r="F228" s="22">
        <f t="shared" si="237"/>
        <v>0.59615384615384615</v>
      </c>
      <c r="I228" s="60">
        <v>114</v>
      </c>
      <c r="J228" s="17" t="s">
        <v>21</v>
      </c>
      <c r="K228" s="22">
        <f t="shared" si="202"/>
        <v>0.6</v>
      </c>
      <c r="L228" s="22">
        <f t="shared" si="203"/>
        <v>0.59615384615384615</v>
      </c>
      <c r="P228" s="24"/>
      <c r="Q228" s="24"/>
      <c r="R228" s="24"/>
      <c r="S228" s="24"/>
    </row>
    <row r="229" spans="1:19" x14ac:dyDescent="0.15">
      <c r="A229" s="60"/>
      <c r="B229" s="21" t="s">
        <v>22</v>
      </c>
      <c r="C229" s="21">
        <f>[58]PARS_cds_stat!B229</f>
        <v>36</v>
      </c>
      <c r="D229" s="21">
        <f>[58]PARS_cds_stat!C229</f>
        <v>21</v>
      </c>
      <c r="E229" s="22">
        <f t="shared" ref="E229:F229" si="238">C229/(C228+C229)</f>
        <v>0.4</v>
      </c>
      <c r="F229" s="22">
        <f t="shared" si="238"/>
        <v>0.40384615384615385</v>
      </c>
      <c r="I229" s="60"/>
      <c r="J229" s="17" t="s">
        <v>22</v>
      </c>
      <c r="K229" s="22">
        <f t="shared" si="202"/>
        <v>0.4</v>
      </c>
      <c r="L229" s="22">
        <f t="shared" si="203"/>
        <v>0.40384615384615385</v>
      </c>
      <c r="P229" s="24"/>
      <c r="Q229" s="24"/>
      <c r="R229" s="24"/>
      <c r="S229" s="24"/>
    </row>
    <row r="230" spans="1:19" x14ac:dyDescent="0.15">
      <c r="A230" s="60">
        <v>115</v>
      </c>
      <c r="B230" s="21" t="s">
        <v>21</v>
      </c>
      <c r="C230" s="21">
        <f>[58]PARS_cds_stat!B230</f>
        <v>57</v>
      </c>
      <c r="D230" s="21">
        <f>[58]PARS_cds_stat!C230</f>
        <v>28</v>
      </c>
      <c r="E230" s="22">
        <f t="shared" ref="E230:F230" si="239">C230/(C230+C231)</f>
        <v>0.64772727272727271</v>
      </c>
      <c r="F230" s="22">
        <f t="shared" si="239"/>
        <v>0.5</v>
      </c>
      <c r="I230" s="60">
        <v>115</v>
      </c>
      <c r="J230" s="17" t="s">
        <v>21</v>
      </c>
      <c r="K230" s="22">
        <f t="shared" si="202"/>
        <v>0.64772727272727271</v>
      </c>
      <c r="L230" s="22">
        <f t="shared" si="203"/>
        <v>0.5</v>
      </c>
      <c r="P230" s="24"/>
      <c r="Q230" s="24"/>
      <c r="R230" s="24"/>
      <c r="S230" s="24"/>
    </row>
    <row r="231" spans="1:19" x14ac:dyDescent="0.15">
      <c r="A231" s="60"/>
      <c r="B231" s="21" t="s">
        <v>22</v>
      </c>
      <c r="C231" s="21">
        <f>[58]PARS_cds_stat!B231</f>
        <v>31</v>
      </c>
      <c r="D231" s="21">
        <f>[58]PARS_cds_stat!C231</f>
        <v>28</v>
      </c>
      <c r="E231" s="22">
        <f t="shared" ref="E231:F231" si="240">C231/(C230+C231)</f>
        <v>0.35227272727272729</v>
      </c>
      <c r="F231" s="22">
        <f t="shared" si="240"/>
        <v>0.5</v>
      </c>
      <c r="I231" s="60"/>
      <c r="J231" s="17" t="s">
        <v>22</v>
      </c>
      <c r="K231" s="22">
        <f t="shared" si="202"/>
        <v>0.35227272727272729</v>
      </c>
      <c r="L231" s="22">
        <f t="shared" si="203"/>
        <v>0.5</v>
      </c>
      <c r="P231" s="24"/>
      <c r="Q231" s="24"/>
      <c r="R231" s="24"/>
      <c r="S231" s="24"/>
    </row>
    <row r="232" spans="1:19" x14ac:dyDescent="0.15">
      <c r="A232" s="60">
        <v>116</v>
      </c>
      <c r="B232" s="21" t="s">
        <v>21</v>
      </c>
      <c r="C232" s="21">
        <f>[58]PARS_cds_stat!B232</f>
        <v>26</v>
      </c>
      <c r="D232" s="21">
        <f>[58]PARS_cds_stat!C232</f>
        <v>30</v>
      </c>
      <c r="E232" s="22">
        <f t="shared" ref="E232:F232" si="241">C232/(C232+C233)</f>
        <v>0.50980392156862742</v>
      </c>
      <c r="F232" s="22">
        <f t="shared" si="241"/>
        <v>0.66666666666666663</v>
      </c>
      <c r="I232" s="60">
        <v>116</v>
      </c>
      <c r="J232" s="17" t="s">
        <v>21</v>
      </c>
      <c r="K232" s="22">
        <f t="shared" si="202"/>
        <v>0.50980392156862742</v>
      </c>
      <c r="L232" s="22">
        <f t="shared" si="203"/>
        <v>0.66666666666666663</v>
      </c>
      <c r="P232" s="24"/>
      <c r="Q232" s="24"/>
      <c r="R232" s="24"/>
      <c r="S232" s="24"/>
    </row>
    <row r="233" spans="1:19" x14ac:dyDescent="0.15">
      <c r="A233" s="60"/>
      <c r="B233" s="21" t="s">
        <v>22</v>
      </c>
      <c r="C233" s="21">
        <f>[58]PARS_cds_stat!B233</f>
        <v>25</v>
      </c>
      <c r="D233" s="21">
        <f>[58]PARS_cds_stat!C233</f>
        <v>15</v>
      </c>
      <c r="E233" s="22">
        <f t="shared" ref="E233:F233" si="242">C233/(C232+C233)</f>
        <v>0.49019607843137253</v>
      </c>
      <c r="F233" s="22">
        <f t="shared" si="242"/>
        <v>0.33333333333333331</v>
      </c>
      <c r="I233" s="60"/>
      <c r="J233" s="17" t="s">
        <v>22</v>
      </c>
      <c r="K233" s="22">
        <f t="shared" si="202"/>
        <v>0.49019607843137253</v>
      </c>
      <c r="L233" s="22">
        <f t="shared" si="203"/>
        <v>0.33333333333333331</v>
      </c>
      <c r="P233" s="24"/>
      <c r="Q233" s="24"/>
      <c r="R233" s="24"/>
      <c r="S233" s="24"/>
    </row>
    <row r="234" spans="1:19" x14ac:dyDescent="0.15">
      <c r="A234" s="60">
        <v>117</v>
      </c>
      <c r="B234" s="21" t="s">
        <v>21</v>
      </c>
      <c r="C234" s="21">
        <f>[58]PARS_cds_stat!B234</f>
        <v>50</v>
      </c>
      <c r="D234" s="21">
        <f>[58]PARS_cds_stat!C234</f>
        <v>29</v>
      </c>
      <c r="E234" s="22">
        <f t="shared" ref="E234:F234" si="243">C234/(C234+C235)</f>
        <v>0.63291139240506333</v>
      </c>
      <c r="F234" s="22">
        <f t="shared" si="243"/>
        <v>0.54716981132075471</v>
      </c>
      <c r="I234" s="60">
        <v>117</v>
      </c>
      <c r="J234" s="17" t="s">
        <v>21</v>
      </c>
      <c r="K234" s="22">
        <f t="shared" si="202"/>
        <v>0.63291139240506333</v>
      </c>
      <c r="L234" s="22">
        <f t="shared" si="203"/>
        <v>0.54716981132075471</v>
      </c>
      <c r="P234" s="24"/>
      <c r="Q234" s="24"/>
      <c r="R234" s="24"/>
      <c r="S234" s="24"/>
    </row>
    <row r="235" spans="1:19" x14ac:dyDescent="0.15">
      <c r="A235" s="60"/>
      <c r="B235" s="21" t="s">
        <v>22</v>
      </c>
      <c r="C235" s="21">
        <f>[58]PARS_cds_stat!B235</f>
        <v>29</v>
      </c>
      <c r="D235" s="21">
        <f>[58]PARS_cds_stat!C235</f>
        <v>24</v>
      </c>
      <c r="E235" s="22">
        <f t="shared" ref="E235:F235" si="244">C235/(C234+C235)</f>
        <v>0.36708860759493672</v>
      </c>
      <c r="F235" s="22">
        <f t="shared" si="244"/>
        <v>0.45283018867924529</v>
      </c>
      <c r="I235" s="60"/>
      <c r="J235" s="17" t="s">
        <v>22</v>
      </c>
      <c r="K235" s="22">
        <f t="shared" si="202"/>
        <v>0.36708860759493672</v>
      </c>
      <c r="L235" s="22">
        <f t="shared" si="203"/>
        <v>0.45283018867924529</v>
      </c>
      <c r="P235" s="24"/>
      <c r="Q235" s="24"/>
      <c r="R235" s="24"/>
      <c r="S235" s="24"/>
    </row>
    <row r="236" spans="1:19" x14ac:dyDescent="0.15">
      <c r="A236" s="60">
        <v>118</v>
      </c>
      <c r="B236" s="21" t="s">
        <v>21</v>
      </c>
      <c r="C236" s="21">
        <f>[58]PARS_cds_stat!B236</f>
        <v>62</v>
      </c>
      <c r="D236" s="21">
        <f>[58]PARS_cds_stat!C236</f>
        <v>34</v>
      </c>
      <c r="E236" s="22">
        <f t="shared" ref="E236:F236" si="245">C236/(C236+C237)</f>
        <v>0.65263157894736845</v>
      </c>
      <c r="F236" s="22">
        <f t="shared" si="245"/>
        <v>0.59649122807017541</v>
      </c>
      <c r="I236" s="60">
        <v>118</v>
      </c>
      <c r="J236" s="17" t="s">
        <v>21</v>
      </c>
      <c r="K236" s="22">
        <f t="shared" si="202"/>
        <v>0.65263157894736845</v>
      </c>
      <c r="L236" s="22">
        <f t="shared" si="203"/>
        <v>0.59649122807017541</v>
      </c>
      <c r="P236" s="24"/>
      <c r="Q236" s="24"/>
      <c r="R236" s="24"/>
      <c r="S236" s="24"/>
    </row>
    <row r="237" spans="1:19" x14ac:dyDescent="0.15">
      <c r="A237" s="60"/>
      <c r="B237" s="21" t="s">
        <v>22</v>
      </c>
      <c r="C237" s="21">
        <f>[58]PARS_cds_stat!B237</f>
        <v>33</v>
      </c>
      <c r="D237" s="21">
        <f>[58]PARS_cds_stat!C237</f>
        <v>23</v>
      </c>
      <c r="E237" s="22">
        <f t="shared" ref="E237:F237" si="246">C237/(C236+C237)</f>
        <v>0.3473684210526316</v>
      </c>
      <c r="F237" s="22">
        <f t="shared" si="246"/>
        <v>0.40350877192982454</v>
      </c>
      <c r="I237" s="60"/>
      <c r="J237" s="17" t="s">
        <v>22</v>
      </c>
      <c r="K237" s="22">
        <f t="shared" si="202"/>
        <v>0.3473684210526316</v>
      </c>
      <c r="L237" s="22">
        <f t="shared" si="203"/>
        <v>0.40350877192982454</v>
      </c>
      <c r="P237" s="24"/>
      <c r="Q237" s="24"/>
      <c r="R237" s="24"/>
      <c r="S237" s="24"/>
    </row>
    <row r="238" spans="1:19" x14ac:dyDescent="0.15">
      <c r="A238" s="60">
        <v>119</v>
      </c>
      <c r="B238" s="21" t="s">
        <v>21</v>
      </c>
      <c r="C238" s="21">
        <f>[58]PARS_cds_stat!B238</f>
        <v>69</v>
      </c>
      <c r="D238" s="21">
        <f>[58]PARS_cds_stat!C238</f>
        <v>32</v>
      </c>
      <c r="E238" s="22">
        <f t="shared" ref="E238:F238" si="247">C238/(C238+C239)</f>
        <v>0.65714285714285714</v>
      </c>
      <c r="F238" s="22">
        <f t="shared" si="247"/>
        <v>0.5423728813559322</v>
      </c>
      <c r="I238" s="60">
        <v>119</v>
      </c>
      <c r="J238" s="17" t="s">
        <v>21</v>
      </c>
      <c r="K238" s="22">
        <f t="shared" si="202"/>
        <v>0.65714285714285714</v>
      </c>
      <c r="L238" s="22">
        <f t="shared" si="203"/>
        <v>0.5423728813559322</v>
      </c>
      <c r="P238" s="24"/>
      <c r="Q238" s="24"/>
      <c r="R238" s="24"/>
      <c r="S238" s="24"/>
    </row>
    <row r="239" spans="1:19" x14ac:dyDescent="0.15">
      <c r="A239" s="60"/>
      <c r="B239" s="21" t="s">
        <v>22</v>
      </c>
      <c r="C239" s="21">
        <f>[58]PARS_cds_stat!B239</f>
        <v>36</v>
      </c>
      <c r="D239" s="21">
        <f>[58]PARS_cds_stat!C239</f>
        <v>27</v>
      </c>
      <c r="E239" s="22">
        <f t="shared" ref="E239:F239" si="248">C239/(C238+C239)</f>
        <v>0.34285714285714286</v>
      </c>
      <c r="F239" s="22">
        <f t="shared" si="248"/>
        <v>0.4576271186440678</v>
      </c>
      <c r="I239" s="60"/>
      <c r="J239" s="17" t="s">
        <v>22</v>
      </c>
      <c r="K239" s="22">
        <f t="shared" si="202"/>
        <v>0.34285714285714286</v>
      </c>
      <c r="L239" s="22">
        <f t="shared" si="203"/>
        <v>0.4576271186440678</v>
      </c>
      <c r="P239" s="24"/>
      <c r="Q239" s="24"/>
      <c r="R239" s="24"/>
      <c r="S239" s="24"/>
    </row>
    <row r="240" spans="1:19" x14ac:dyDescent="0.15">
      <c r="A240" s="60">
        <v>120</v>
      </c>
      <c r="B240" s="21" t="s">
        <v>21</v>
      </c>
      <c r="C240" s="21">
        <f>[58]PARS_cds_stat!B240</f>
        <v>44</v>
      </c>
      <c r="D240" s="21">
        <f>[58]PARS_cds_stat!C240</f>
        <v>18</v>
      </c>
      <c r="E240" s="22">
        <f t="shared" ref="E240:F240" si="249">C240/(C240+C241)</f>
        <v>0.6470588235294118</v>
      </c>
      <c r="F240" s="22">
        <f t="shared" si="249"/>
        <v>0.47368421052631576</v>
      </c>
      <c r="I240" s="60">
        <v>120</v>
      </c>
      <c r="J240" s="17" t="s">
        <v>21</v>
      </c>
      <c r="K240" s="22">
        <f t="shared" si="202"/>
        <v>0.6470588235294118</v>
      </c>
      <c r="L240" s="22">
        <f t="shared" si="203"/>
        <v>0.47368421052631576</v>
      </c>
      <c r="P240" s="24"/>
      <c r="Q240" s="24"/>
      <c r="R240" s="24"/>
      <c r="S240" s="24"/>
    </row>
    <row r="241" spans="1:19" x14ac:dyDescent="0.15">
      <c r="A241" s="60"/>
      <c r="B241" s="21" t="s">
        <v>22</v>
      </c>
      <c r="C241" s="21">
        <f>[58]PARS_cds_stat!B241</f>
        <v>24</v>
      </c>
      <c r="D241" s="21">
        <f>[58]PARS_cds_stat!C241</f>
        <v>20</v>
      </c>
      <c r="E241" s="22">
        <f t="shared" ref="E241:F241" si="250">C241/(C240+C241)</f>
        <v>0.35294117647058826</v>
      </c>
      <c r="F241" s="22">
        <f t="shared" si="250"/>
        <v>0.52631578947368418</v>
      </c>
      <c r="I241" s="60"/>
      <c r="J241" s="17" t="s">
        <v>22</v>
      </c>
      <c r="K241" s="22">
        <f t="shared" si="202"/>
        <v>0.35294117647058826</v>
      </c>
      <c r="L241" s="22">
        <f t="shared" si="203"/>
        <v>0.52631578947368418</v>
      </c>
      <c r="P241" s="24"/>
      <c r="Q241" s="24"/>
      <c r="R241" s="24"/>
      <c r="S241" s="24"/>
    </row>
    <row r="242" spans="1:19" x14ac:dyDescent="0.15">
      <c r="A242" s="60">
        <v>121</v>
      </c>
      <c r="B242" s="21" t="s">
        <v>21</v>
      </c>
      <c r="C242" s="21">
        <f>[58]PARS_cds_stat!B242</f>
        <v>56</v>
      </c>
      <c r="D242" s="21">
        <f>[58]PARS_cds_stat!C242</f>
        <v>28</v>
      </c>
      <c r="E242" s="22">
        <f t="shared" ref="E242:F242" si="251">C242/(C242+C243)</f>
        <v>0.63636363636363635</v>
      </c>
      <c r="F242" s="22">
        <f t="shared" si="251"/>
        <v>0.5490196078431373</v>
      </c>
      <c r="I242" s="60">
        <v>121</v>
      </c>
      <c r="J242" s="17" t="s">
        <v>21</v>
      </c>
      <c r="K242" s="22">
        <f t="shared" si="202"/>
        <v>0.63636363636363635</v>
      </c>
      <c r="L242" s="22">
        <f t="shared" si="203"/>
        <v>0.5490196078431373</v>
      </c>
      <c r="P242" s="24"/>
      <c r="Q242" s="24"/>
      <c r="R242" s="24"/>
      <c r="S242" s="24"/>
    </row>
    <row r="243" spans="1:19" x14ac:dyDescent="0.15">
      <c r="A243" s="60"/>
      <c r="B243" s="21" t="s">
        <v>22</v>
      </c>
      <c r="C243" s="21">
        <f>[58]PARS_cds_stat!B243</f>
        <v>32</v>
      </c>
      <c r="D243" s="21">
        <f>[58]PARS_cds_stat!C243</f>
        <v>23</v>
      </c>
      <c r="E243" s="22">
        <f t="shared" ref="E243:F243" si="252">C243/(C242+C243)</f>
        <v>0.36363636363636365</v>
      </c>
      <c r="F243" s="22">
        <f t="shared" si="252"/>
        <v>0.45098039215686275</v>
      </c>
      <c r="I243" s="60"/>
      <c r="J243" s="17" t="s">
        <v>22</v>
      </c>
      <c r="K243" s="22">
        <f t="shared" si="202"/>
        <v>0.36363636363636365</v>
      </c>
      <c r="L243" s="22">
        <f t="shared" si="203"/>
        <v>0.45098039215686275</v>
      </c>
      <c r="P243" s="24"/>
      <c r="Q243" s="24"/>
      <c r="R243" s="24"/>
      <c r="S243" s="24"/>
    </row>
    <row r="244" spans="1:19" x14ac:dyDescent="0.15">
      <c r="A244" s="60">
        <v>122</v>
      </c>
      <c r="B244" s="21" t="s">
        <v>21</v>
      </c>
      <c r="C244" s="21">
        <f>[58]PARS_cds_stat!B244</f>
        <v>85</v>
      </c>
      <c r="D244" s="21">
        <f>[58]PARS_cds_stat!C244</f>
        <v>40</v>
      </c>
      <c r="E244" s="22">
        <f t="shared" ref="E244:F244" si="253">C244/(C244+C245)</f>
        <v>0.68548387096774188</v>
      </c>
      <c r="F244" s="22">
        <f t="shared" si="253"/>
        <v>0.54794520547945202</v>
      </c>
      <c r="I244" s="60">
        <v>122</v>
      </c>
      <c r="J244" s="17" t="s">
        <v>21</v>
      </c>
      <c r="K244" s="22">
        <f t="shared" si="202"/>
        <v>0.68548387096774188</v>
      </c>
      <c r="L244" s="22">
        <f t="shared" si="203"/>
        <v>0.54794520547945202</v>
      </c>
      <c r="P244" s="24"/>
      <c r="Q244" s="24"/>
      <c r="R244" s="24"/>
      <c r="S244" s="24"/>
    </row>
    <row r="245" spans="1:19" x14ac:dyDescent="0.15">
      <c r="A245" s="60"/>
      <c r="B245" s="21" t="s">
        <v>22</v>
      </c>
      <c r="C245" s="21">
        <f>[58]PARS_cds_stat!B245</f>
        <v>39</v>
      </c>
      <c r="D245" s="21">
        <f>[58]PARS_cds_stat!C245</f>
        <v>33</v>
      </c>
      <c r="E245" s="22">
        <f t="shared" ref="E245:F245" si="254">C245/(C244+C245)</f>
        <v>0.31451612903225806</v>
      </c>
      <c r="F245" s="22">
        <f t="shared" si="254"/>
        <v>0.45205479452054792</v>
      </c>
      <c r="I245" s="60"/>
      <c r="J245" s="17" t="s">
        <v>22</v>
      </c>
      <c r="K245" s="22">
        <f t="shared" si="202"/>
        <v>0.31451612903225806</v>
      </c>
      <c r="L245" s="22">
        <f t="shared" si="203"/>
        <v>0.45205479452054792</v>
      </c>
      <c r="P245" s="24"/>
      <c r="Q245" s="24"/>
      <c r="R245" s="24"/>
      <c r="S245" s="24"/>
    </row>
    <row r="246" spans="1:19" x14ac:dyDescent="0.15">
      <c r="A246" s="60">
        <v>123</v>
      </c>
      <c r="B246" s="21" t="s">
        <v>21</v>
      </c>
      <c r="C246" s="21">
        <f>[58]PARS_cds_stat!B246</f>
        <v>71</v>
      </c>
      <c r="D246" s="21">
        <f>[58]PARS_cds_stat!C246</f>
        <v>28</v>
      </c>
      <c r="E246" s="22">
        <f t="shared" ref="E246:F246" si="255">C246/(C246+C247)</f>
        <v>0.61739130434782608</v>
      </c>
      <c r="F246" s="22">
        <f t="shared" si="255"/>
        <v>0.44444444444444442</v>
      </c>
      <c r="I246" s="60">
        <v>123</v>
      </c>
      <c r="J246" s="17" t="s">
        <v>21</v>
      </c>
      <c r="K246" s="22">
        <f t="shared" si="202"/>
        <v>0.61739130434782608</v>
      </c>
      <c r="L246" s="22">
        <f t="shared" si="203"/>
        <v>0.44444444444444442</v>
      </c>
      <c r="P246" s="24"/>
      <c r="Q246" s="24"/>
      <c r="R246" s="24"/>
      <c r="S246" s="24"/>
    </row>
    <row r="247" spans="1:19" x14ac:dyDescent="0.15">
      <c r="A247" s="60"/>
      <c r="B247" s="21" t="s">
        <v>22</v>
      </c>
      <c r="C247" s="21">
        <f>[58]PARS_cds_stat!B247</f>
        <v>44</v>
      </c>
      <c r="D247" s="21">
        <f>[58]PARS_cds_stat!C247</f>
        <v>35</v>
      </c>
      <c r="E247" s="22">
        <f t="shared" ref="E247:F247" si="256">C247/(C246+C247)</f>
        <v>0.38260869565217392</v>
      </c>
      <c r="F247" s="22">
        <f t="shared" si="256"/>
        <v>0.55555555555555558</v>
      </c>
      <c r="I247" s="60"/>
      <c r="J247" s="17" t="s">
        <v>22</v>
      </c>
      <c r="K247" s="22">
        <f t="shared" si="202"/>
        <v>0.38260869565217392</v>
      </c>
      <c r="L247" s="22">
        <f t="shared" si="203"/>
        <v>0.55555555555555558</v>
      </c>
      <c r="P247" s="24"/>
      <c r="Q247" s="24"/>
      <c r="R247" s="24"/>
      <c r="S247" s="24"/>
    </row>
    <row r="248" spans="1:19" x14ac:dyDescent="0.15">
      <c r="A248" s="60">
        <v>124</v>
      </c>
      <c r="B248" s="21" t="s">
        <v>21</v>
      </c>
      <c r="C248" s="21">
        <f>[58]PARS_cds_stat!B248</f>
        <v>100</v>
      </c>
      <c r="D248" s="21">
        <f>[58]PARS_cds_stat!C248</f>
        <v>44</v>
      </c>
      <c r="E248" s="22">
        <f t="shared" ref="E248:F248" si="257">C248/(C248+C249)</f>
        <v>0.66225165562913912</v>
      </c>
      <c r="F248" s="22">
        <f t="shared" si="257"/>
        <v>0.6875</v>
      </c>
      <c r="I248" s="60">
        <v>124</v>
      </c>
      <c r="J248" s="17" t="s">
        <v>21</v>
      </c>
      <c r="K248" s="22">
        <f t="shared" si="202"/>
        <v>0.66225165562913912</v>
      </c>
      <c r="L248" s="22">
        <f t="shared" si="203"/>
        <v>0.6875</v>
      </c>
      <c r="P248" s="24"/>
      <c r="Q248" s="24"/>
      <c r="R248" s="24"/>
      <c r="S248" s="24"/>
    </row>
    <row r="249" spans="1:19" x14ac:dyDescent="0.15">
      <c r="A249" s="60"/>
      <c r="B249" s="21" t="s">
        <v>22</v>
      </c>
      <c r="C249" s="21">
        <f>[58]PARS_cds_stat!B249</f>
        <v>51</v>
      </c>
      <c r="D249" s="21">
        <f>[58]PARS_cds_stat!C249</f>
        <v>20</v>
      </c>
      <c r="E249" s="22">
        <f t="shared" ref="E249:F249" si="258">C249/(C248+C249)</f>
        <v>0.33774834437086093</v>
      </c>
      <c r="F249" s="22">
        <f t="shared" si="258"/>
        <v>0.3125</v>
      </c>
      <c r="I249" s="60"/>
      <c r="J249" s="17" t="s">
        <v>22</v>
      </c>
      <c r="K249" s="22">
        <f t="shared" si="202"/>
        <v>0.33774834437086093</v>
      </c>
      <c r="L249" s="22">
        <f t="shared" si="203"/>
        <v>0.3125</v>
      </c>
      <c r="P249" s="24"/>
      <c r="Q249" s="24"/>
      <c r="R249" s="24"/>
      <c r="S249" s="24"/>
    </row>
    <row r="250" spans="1:19" x14ac:dyDescent="0.15">
      <c r="A250" s="60">
        <v>125</v>
      </c>
      <c r="B250" s="21" t="s">
        <v>21</v>
      </c>
      <c r="C250" s="21">
        <f>[58]PARS_cds_stat!B250</f>
        <v>137</v>
      </c>
      <c r="D250" s="21">
        <f>[58]PARS_cds_stat!C250</f>
        <v>79</v>
      </c>
      <c r="E250" s="22">
        <f t="shared" ref="E250:F250" si="259">C250/(C250+C251)</f>
        <v>0.59825327510917026</v>
      </c>
      <c r="F250" s="22">
        <f t="shared" si="259"/>
        <v>0.56028368794326244</v>
      </c>
      <c r="I250" s="60">
        <v>125</v>
      </c>
      <c r="J250" s="17" t="s">
        <v>21</v>
      </c>
      <c r="K250" s="22">
        <f t="shared" si="202"/>
        <v>0.59825327510917026</v>
      </c>
      <c r="L250" s="22">
        <f t="shared" si="203"/>
        <v>0.56028368794326244</v>
      </c>
      <c r="P250" s="24"/>
      <c r="Q250" s="24"/>
      <c r="R250" s="24"/>
      <c r="S250" s="24"/>
    </row>
    <row r="251" spans="1:19" x14ac:dyDescent="0.15">
      <c r="A251" s="60"/>
      <c r="B251" s="21" t="s">
        <v>22</v>
      </c>
      <c r="C251" s="21">
        <f>[58]PARS_cds_stat!B251</f>
        <v>92</v>
      </c>
      <c r="D251" s="21">
        <f>[58]PARS_cds_stat!C251</f>
        <v>62</v>
      </c>
      <c r="E251" s="22">
        <f t="shared" ref="E251:F251" si="260">C251/(C250+C251)</f>
        <v>0.40174672489082969</v>
      </c>
      <c r="F251" s="22">
        <f t="shared" si="260"/>
        <v>0.43971631205673761</v>
      </c>
      <c r="I251" s="60"/>
      <c r="J251" s="17" t="s">
        <v>22</v>
      </c>
      <c r="K251" s="22">
        <f t="shared" si="202"/>
        <v>0.40174672489082969</v>
      </c>
      <c r="L251" s="22">
        <f t="shared" si="203"/>
        <v>0.43971631205673761</v>
      </c>
      <c r="P251" s="24"/>
      <c r="Q251" s="24"/>
      <c r="R251" s="24"/>
      <c r="S251" s="24"/>
    </row>
    <row r="252" spans="1:19" x14ac:dyDescent="0.15">
      <c r="A252" s="60">
        <v>126</v>
      </c>
      <c r="B252" s="21" t="s">
        <v>21</v>
      </c>
      <c r="C252" s="21">
        <f>[58]PARS_cds_stat!B252</f>
        <v>173</v>
      </c>
      <c r="D252" s="21">
        <f>[58]PARS_cds_stat!C252</f>
        <v>58</v>
      </c>
      <c r="E252" s="22">
        <f t="shared" ref="E252:F252" si="261">C252/(C252+C253)</f>
        <v>0.64312267657992561</v>
      </c>
      <c r="F252" s="22">
        <f t="shared" si="261"/>
        <v>0.5178571428571429</v>
      </c>
      <c r="I252" s="60">
        <v>126</v>
      </c>
      <c r="J252" s="17" t="s">
        <v>21</v>
      </c>
      <c r="K252" s="22">
        <f t="shared" si="202"/>
        <v>0.64312267657992561</v>
      </c>
      <c r="L252" s="22">
        <f t="shared" si="203"/>
        <v>0.5178571428571429</v>
      </c>
      <c r="P252" s="24"/>
      <c r="Q252" s="24"/>
      <c r="R252" s="24"/>
      <c r="S252" s="24"/>
    </row>
    <row r="253" spans="1:19" x14ac:dyDescent="0.15">
      <c r="A253" s="60"/>
      <c r="B253" s="21" t="s">
        <v>22</v>
      </c>
      <c r="C253" s="21">
        <f>[58]PARS_cds_stat!B253</f>
        <v>96</v>
      </c>
      <c r="D253" s="21">
        <f>[58]PARS_cds_stat!C253</f>
        <v>54</v>
      </c>
      <c r="E253" s="22">
        <f t="shared" ref="E253:F253" si="262">C253/(C252+C253)</f>
        <v>0.35687732342007433</v>
      </c>
      <c r="F253" s="22">
        <f t="shared" si="262"/>
        <v>0.48214285714285715</v>
      </c>
      <c r="I253" s="60"/>
      <c r="J253" s="17" t="s">
        <v>22</v>
      </c>
      <c r="K253" s="22">
        <f t="shared" si="202"/>
        <v>0.35687732342007433</v>
      </c>
      <c r="L253" s="22">
        <f t="shared" si="203"/>
        <v>0.48214285714285715</v>
      </c>
      <c r="P253" s="24"/>
      <c r="Q253" s="24"/>
      <c r="R253" s="24"/>
      <c r="S253" s="24"/>
    </row>
    <row r="254" spans="1:19" x14ac:dyDescent="0.15">
      <c r="A254" s="60">
        <v>127</v>
      </c>
      <c r="B254" s="21" t="s">
        <v>21</v>
      </c>
      <c r="C254" s="21">
        <f>[58]PARS_cds_stat!B254</f>
        <v>437</v>
      </c>
      <c r="D254" s="21">
        <f>[58]PARS_cds_stat!C254</f>
        <v>237</v>
      </c>
      <c r="E254" s="22">
        <f t="shared" ref="E254:F254" si="263">C254/(C254+C255)</f>
        <v>0.64359351988217972</v>
      </c>
      <c r="F254" s="22">
        <f t="shared" si="263"/>
        <v>0.57246376811594202</v>
      </c>
      <c r="I254" s="60">
        <v>127</v>
      </c>
      <c r="J254" s="17" t="s">
        <v>21</v>
      </c>
      <c r="K254" s="22">
        <f t="shared" si="202"/>
        <v>0.64359351988217972</v>
      </c>
      <c r="L254" s="22">
        <f t="shared" si="203"/>
        <v>0.57246376811594202</v>
      </c>
      <c r="P254" s="24"/>
      <c r="Q254" s="24"/>
      <c r="R254" s="24"/>
      <c r="S254" s="24"/>
    </row>
    <row r="255" spans="1:19" x14ac:dyDescent="0.15">
      <c r="A255" s="60"/>
      <c r="B255" s="21" t="s">
        <v>22</v>
      </c>
      <c r="C255" s="21">
        <f>[58]PARS_cds_stat!B255</f>
        <v>242</v>
      </c>
      <c r="D255" s="21">
        <f>[58]PARS_cds_stat!C255</f>
        <v>177</v>
      </c>
      <c r="E255" s="22">
        <f t="shared" ref="E255:F255" si="264">C255/(C254+C255)</f>
        <v>0.35640648011782033</v>
      </c>
      <c r="F255" s="22">
        <f t="shared" si="264"/>
        <v>0.42753623188405798</v>
      </c>
      <c r="I255" s="60"/>
      <c r="J255" s="17" t="s">
        <v>22</v>
      </c>
      <c r="K255" s="22">
        <f t="shared" si="202"/>
        <v>0.35640648011782033</v>
      </c>
      <c r="L255" s="22">
        <f t="shared" si="203"/>
        <v>0.42753623188405798</v>
      </c>
      <c r="P255" s="24"/>
      <c r="Q255" s="24"/>
      <c r="R255" s="24"/>
      <c r="S255" s="24"/>
    </row>
  </sheetData>
  <mergeCells count="256">
    <mergeCell ref="I250:I251"/>
    <mergeCell ref="I252:I253"/>
    <mergeCell ref="I254:I255"/>
    <mergeCell ref="I238:I239"/>
    <mergeCell ref="I240:I241"/>
    <mergeCell ref="I242:I243"/>
    <mergeCell ref="I244:I245"/>
    <mergeCell ref="I246:I247"/>
    <mergeCell ref="I248:I249"/>
    <mergeCell ref="I226:I227"/>
    <mergeCell ref="I228:I229"/>
    <mergeCell ref="I230:I231"/>
    <mergeCell ref="I232:I233"/>
    <mergeCell ref="I234:I235"/>
    <mergeCell ref="I236:I237"/>
    <mergeCell ref="I214:I215"/>
    <mergeCell ref="I216:I217"/>
    <mergeCell ref="I218:I219"/>
    <mergeCell ref="I220:I221"/>
    <mergeCell ref="I222:I223"/>
    <mergeCell ref="I224:I225"/>
    <mergeCell ref="I202:I203"/>
    <mergeCell ref="I204:I205"/>
    <mergeCell ref="I206:I207"/>
    <mergeCell ref="I208:I209"/>
    <mergeCell ref="I210:I211"/>
    <mergeCell ref="I212:I213"/>
    <mergeCell ref="I190:I191"/>
    <mergeCell ref="I192:I193"/>
    <mergeCell ref="I194:I195"/>
    <mergeCell ref="I196:I197"/>
    <mergeCell ref="I198:I199"/>
    <mergeCell ref="I200:I201"/>
    <mergeCell ref="I178:I179"/>
    <mergeCell ref="I180:I181"/>
    <mergeCell ref="I182:I183"/>
    <mergeCell ref="I184:I185"/>
    <mergeCell ref="I186:I187"/>
    <mergeCell ref="I188:I189"/>
    <mergeCell ref="I166:I167"/>
    <mergeCell ref="I168:I169"/>
    <mergeCell ref="I170:I171"/>
    <mergeCell ref="I172:I173"/>
    <mergeCell ref="I174:I175"/>
    <mergeCell ref="I176:I177"/>
    <mergeCell ref="I154:I155"/>
    <mergeCell ref="I156:I157"/>
    <mergeCell ref="I158:I159"/>
    <mergeCell ref="I160:I161"/>
    <mergeCell ref="I162:I163"/>
    <mergeCell ref="I164:I165"/>
    <mergeCell ref="I142:I143"/>
    <mergeCell ref="I144:I145"/>
    <mergeCell ref="I146:I147"/>
    <mergeCell ref="I148:I149"/>
    <mergeCell ref="I150:I151"/>
    <mergeCell ref="I152:I153"/>
    <mergeCell ref="I130:I131"/>
    <mergeCell ref="I132:I133"/>
    <mergeCell ref="I134:I135"/>
    <mergeCell ref="I136:I137"/>
    <mergeCell ref="I138:I139"/>
    <mergeCell ref="I140:I141"/>
    <mergeCell ref="I118:I119"/>
    <mergeCell ref="I120:I121"/>
    <mergeCell ref="I122:I123"/>
    <mergeCell ref="I124:I125"/>
    <mergeCell ref="I126:I127"/>
    <mergeCell ref="I128:I129"/>
    <mergeCell ref="I106:I107"/>
    <mergeCell ref="I108:I109"/>
    <mergeCell ref="I110:I111"/>
    <mergeCell ref="I112:I113"/>
    <mergeCell ref="I114:I115"/>
    <mergeCell ref="I116:I117"/>
    <mergeCell ref="I94:I95"/>
    <mergeCell ref="I96:I97"/>
    <mergeCell ref="I98:I99"/>
    <mergeCell ref="I100:I101"/>
    <mergeCell ref="I102:I103"/>
    <mergeCell ref="I104:I105"/>
    <mergeCell ref="I82:I83"/>
    <mergeCell ref="I84:I85"/>
    <mergeCell ref="I86:I87"/>
    <mergeCell ref="I88:I89"/>
    <mergeCell ref="I90:I91"/>
    <mergeCell ref="I92:I93"/>
    <mergeCell ref="I70:I71"/>
    <mergeCell ref="I72:I73"/>
    <mergeCell ref="I74:I75"/>
    <mergeCell ref="I76:I77"/>
    <mergeCell ref="I78:I79"/>
    <mergeCell ref="I80:I81"/>
    <mergeCell ref="I58:I59"/>
    <mergeCell ref="I60:I61"/>
    <mergeCell ref="I62:I63"/>
    <mergeCell ref="I64:I65"/>
    <mergeCell ref="I66:I67"/>
    <mergeCell ref="I68:I69"/>
    <mergeCell ref="I46:I47"/>
    <mergeCell ref="I48:I49"/>
    <mergeCell ref="I50:I51"/>
    <mergeCell ref="I52:I53"/>
    <mergeCell ref="I54:I55"/>
    <mergeCell ref="I56:I57"/>
    <mergeCell ref="I34:I35"/>
    <mergeCell ref="I36:I37"/>
    <mergeCell ref="I38:I39"/>
    <mergeCell ref="I40:I41"/>
    <mergeCell ref="I42:I43"/>
    <mergeCell ref="I44:I45"/>
    <mergeCell ref="I22:I23"/>
    <mergeCell ref="I24:I25"/>
    <mergeCell ref="I26:I27"/>
    <mergeCell ref="I28:I29"/>
    <mergeCell ref="I30:I31"/>
    <mergeCell ref="I32:I33"/>
    <mergeCell ref="I10:I11"/>
    <mergeCell ref="I12:I13"/>
    <mergeCell ref="I14:I15"/>
    <mergeCell ref="I16:I17"/>
    <mergeCell ref="I18:I19"/>
    <mergeCell ref="I20:I21"/>
    <mergeCell ref="I2:I3"/>
    <mergeCell ref="I4:I5"/>
    <mergeCell ref="I6:I7"/>
    <mergeCell ref="I8:I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206:A207"/>
    <mergeCell ref="A208:A209"/>
    <mergeCell ref="A210:A211"/>
    <mergeCell ref="A212:A213"/>
    <mergeCell ref="A214:A215"/>
    <mergeCell ref="A216:A217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P1:Q1"/>
    <mergeCell ref="R1:S1"/>
    <mergeCell ref="A254:A25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00:A201"/>
    <mergeCell ref="A202:A203"/>
    <mergeCell ref="A204:A20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opLeftCell="F1" workbookViewId="0">
      <selection activeCell="S3" sqref="S3:S129"/>
    </sheetView>
  </sheetViews>
  <sheetFormatPr baseColWidth="10" defaultRowHeight="15" x14ac:dyDescent="0.15"/>
  <cols>
    <col min="1" max="1" width="10.83203125" style="21"/>
    <col min="2" max="2" width="11.1640625" style="21" customWidth="1"/>
    <col min="3" max="4" width="10.83203125" style="21"/>
    <col min="5" max="8" width="13.1640625" style="22" customWidth="1"/>
    <col min="9" max="10" width="10.83203125" style="21"/>
    <col min="11" max="12" width="13.1640625" style="22" customWidth="1"/>
    <col min="15" max="15" width="10.83203125" style="21" customWidth="1"/>
    <col min="16" max="19" width="11.83203125" style="7" customWidth="1"/>
  </cols>
  <sheetData>
    <row r="1" spans="1:19" x14ac:dyDescent="0.15">
      <c r="A1" s="21" t="s">
        <v>62</v>
      </c>
      <c r="B1" s="21" t="s">
        <v>19</v>
      </c>
      <c r="C1" s="21" t="str">
        <f>[59]PARS_utr_stat!B1</f>
        <v>AT_GC</v>
      </c>
      <c r="D1" s="21" t="str">
        <f>[59]PARS_utr_stat!C1</f>
        <v>GC_AT</v>
      </c>
      <c r="E1" s="22" t="s">
        <v>46</v>
      </c>
      <c r="F1" s="22" t="s">
        <v>71</v>
      </c>
      <c r="I1" s="21" t="s">
        <v>23</v>
      </c>
      <c r="J1" s="21" t="s">
        <v>19</v>
      </c>
      <c r="K1" s="22" t="s">
        <v>44</v>
      </c>
      <c r="L1" s="22" t="s">
        <v>45</v>
      </c>
      <c r="P1" s="61" t="s">
        <v>76</v>
      </c>
      <c r="Q1" s="61"/>
      <c r="R1" s="61" t="s">
        <v>77</v>
      </c>
      <c r="S1" s="61"/>
    </row>
    <row r="2" spans="1:19" x14ac:dyDescent="0.15">
      <c r="A2" s="60">
        <v>1</v>
      </c>
      <c r="B2" s="21" t="s">
        <v>21</v>
      </c>
      <c r="C2" s="21">
        <f>[60]PARS_utr_stat!B2</f>
        <v>293</v>
      </c>
      <c r="D2" s="21">
        <f>[60]PARS_utr_stat!C2</f>
        <v>254</v>
      </c>
      <c r="E2" s="22">
        <f>C2/(C2+C3)</f>
        <v>0.51584507042253525</v>
      </c>
      <c r="F2" s="22">
        <f>D2/(D2+D3)</f>
        <v>0.58796296296296291</v>
      </c>
      <c r="I2" s="60">
        <v>1</v>
      </c>
      <c r="J2" s="21" t="s">
        <v>47</v>
      </c>
      <c r="K2" s="22">
        <f t="shared" ref="K2:L65" si="0">E2</f>
        <v>0.51584507042253525</v>
      </c>
      <c r="L2" s="22">
        <f t="shared" si="0"/>
        <v>0.58796296296296291</v>
      </c>
      <c r="O2" s="21" t="s">
        <v>23</v>
      </c>
      <c r="P2" s="7" t="s">
        <v>72</v>
      </c>
      <c r="Q2" s="7" t="s">
        <v>73</v>
      </c>
      <c r="R2" s="7" t="s">
        <v>74</v>
      </c>
      <c r="S2" s="7" t="s">
        <v>75</v>
      </c>
    </row>
    <row r="3" spans="1:19" x14ac:dyDescent="0.15">
      <c r="A3" s="60"/>
      <c r="B3" s="21" t="s">
        <v>22</v>
      </c>
      <c r="C3" s="21">
        <f>[60]PARS_utr_stat!B3</f>
        <v>275</v>
      </c>
      <c r="D3" s="21">
        <f>[60]PARS_utr_stat!C3</f>
        <v>178</v>
      </c>
      <c r="E3" s="22">
        <f>C3/(C2+C3)</f>
        <v>0.48415492957746481</v>
      </c>
      <c r="F3" s="22">
        <f>D3/(D2+D3)</f>
        <v>0.41203703703703703</v>
      </c>
      <c r="I3" s="60"/>
      <c r="J3" s="21" t="s">
        <v>22</v>
      </c>
      <c r="K3" s="22">
        <f t="shared" si="0"/>
        <v>0.48415492957746481</v>
      </c>
      <c r="L3" s="22">
        <f t="shared" si="0"/>
        <v>0.41203703703703703</v>
      </c>
      <c r="O3" s="21">
        <v>1</v>
      </c>
      <c r="P3" s="7">
        <f ca="1">INDIRECT("K"&amp;ROW(K1)*2)</f>
        <v>0.51584507042253525</v>
      </c>
      <c r="Q3" s="7">
        <f ca="1">INDIRECT("K"&amp;ROW(J1)*2+1)</f>
        <v>0.48415492957746481</v>
      </c>
      <c r="R3" s="7">
        <f ca="1">INDIRECT("l"&amp;ROW(L1)*2)</f>
        <v>0.58796296296296291</v>
      </c>
      <c r="S3" s="7">
        <f ca="1">INDIRECT("l"&amp;ROW(L1)*2+1)</f>
        <v>0.41203703703703703</v>
      </c>
    </row>
    <row r="4" spans="1:19" x14ac:dyDescent="0.15">
      <c r="A4" s="60">
        <v>2</v>
      </c>
      <c r="B4" s="21" t="s">
        <v>21</v>
      </c>
      <c r="C4" s="21">
        <f>[60]PARS_utr_stat!B4</f>
        <v>105</v>
      </c>
      <c r="D4" s="21">
        <f>[60]PARS_utr_stat!C4</f>
        <v>105</v>
      </c>
      <c r="E4" s="22">
        <f>C4/(C4+C5)</f>
        <v>0.47511312217194568</v>
      </c>
      <c r="F4" s="22">
        <f>D4/(D4+D5)</f>
        <v>0.68181818181818177</v>
      </c>
      <c r="I4" s="60">
        <v>2</v>
      </c>
      <c r="J4" s="21" t="s">
        <v>21</v>
      </c>
      <c r="K4" s="22">
        <f t="shared" si="0"/>
        <v>0.47511312217194568</v>
      </c>
      <c r="L4" s="22">
        <f t="shared" si="0"/>
        <v>0.68181818181818177</v>
      </c>
      <c r="O4" s="21">
        <v>2</v>
      </c>
      <c r="P4" s="7">
        <f ca="1">INDIRECT("K"&amp;ROW(K2)*2)</f>
        <v>0.47511312217194568</v>
      </c>
      <c r="Q4" s="7">
        <f ca="1">INDIRECT("K"&amp;ROW(J2)*2+1)</f>
        <v>0.52488687782805432</v>
      </c>
      <c r="R4" s="7">
        <f t="shared" ref="R4:R67" ca="1" si="1">INDIRECT("l"&amp;ROW(L2)*2)</f>
        <v>0.68181818181818177</v>
      </c>
      <c r="S4" s="7">
        <f t="shared" ref="S4:S67" ca="1" si="2">INDIRECT("l"&amp;ROW(L2)*2+1)</f>
        <v>0.31818181818181818</v>
      </c>
    </row>
    <row r="5" spans="1:19" x14ac:dyDescent="0.15">
      <c r="A5" s="60"/>
      <c r="B5" s="21" t="s">
        <v>22</v>
      </c>
      <c r="C5" s="21">
        <f>[60]PARS_utr_stat!B5</f>
        <v>116</v>
      </c>
      <c r="D5" s="21">
        <f>[60]PARS_utr_stat!C5</f>
        <v>49</v>
      </c>
      <c r="E5" s="22">
        <f>C5/(C4+C5)</f>
        <v>0.52488687782805432</v>
      </c>
      <c r="F5" s="22">
        <f>D5/(D4+D5)</f>
        <v>0.31818181818181818</v>
      </c>
      <c r="I5" s="60"/>
      <c r="J5" s="21" t="s">
        <v>22</v>
      </c>
      <c r="K5" s="22">
        <f t="shared" si="0"/>
        <v>0.52488687782805432</v>
      </c>
      <c r="L5" s="22">
        <f t="shared" si="0"/>
        <v>0.31818181818181818</v>
      </c>
      <c r="O5" s="21">
        <v>3</v>
      </c>
      <c r="P5" s="7">
        <f ca="1">INDIRECT("K"&amp;ROW(K3)*2)</f>
        <v>0.50495049504950495</v>
      </c>
      <c r="Q5" s="7">
        <f t="shared" ref="Q5:Q68" ca="1" si="3">INDIRECT("K"&amp;ROW(J3)*2+1)</f>
        <v>0.49504950495049505</v>
      </c>
      <c r="R5" s="7">
        <f t="shared" ca="1" si="1"/>
        <v>0.69285714285714284</v>
      </c>
      <c r="S5" s="7">
        <f t="shared" ca="1" si="2"/>
        <v>0.30714285714285716</v>
      </c>
    </row>
    <row r="6" spans="1:19" x14ac:dyDescent="0.15">
      <c r="A6" s="60">
        <v>3</v>
      </c>
      <c r="B6" s="21" t="s">
        <v>21</v>
      </c>
      <c r="C6" s="21">
        <f>[60]PARS_utr_stat!B6</f>
        <v>102</v>
      </c>
      <c r="D6" s="21">
        <f>[60]PARS_utr_stat!C6</f>
        <v>97</v>
      </c>
      <c r="E6" s="22">
        <f>C6/(C6+C7)</f>
        <v>0.50495049504950495</v>
      </c>
      <c r="F6" s="22">
        <f>D6/(D6+D7)</f>
        <v>0.69285714285714284</v>
      </c>
      <c r="I6" s="60">
        <v>3</v>
      </c>
      <c r="J6" s="21" t="s">
        <v>21</v>
      </c>
      <c r="K6" s="22">
        <f t="shared" si="0"/>
        <v>0.50495049504950495</v>
      </c>
      <c r="L6" s="22">
        <f t="shared" si="0"/>
        <v>0.69285714285714284</v>
      </c>
      <c r="O6" s="21">
        <v>4</v>
      </c>
      <c r="P6" s="7">
        <f t="shared" ref="P6:P8" ca="1" si="4">INDIRECT("K"&amp;ROW(K4)*2)</f>
        <v>0.5423728813559322</v>
      </c>
      <c r="Q6" s="7">
        <f t="shared" ca="1" si="3"/>
        <v>0.4576271186440678</v>
      </c>
      <c r="R6" s="7">
        <f t="shared" ca="1" si="1"/>
        <v>0.64444444444444449</v>
      </c>
      <c r="S6" s="7">
        <f t="shared" ca="1" si="2"/>
        <v>0.35555555555555557</v>
      </c>
    </row>
    <row r="7" spans="1:19" x14ac:dyDescent="0.15">
      <c r="A7" s="60"/>
      <c r="B7" s="21" t="s">
        <v>22</v>
      </c>
      <c r="C7" s="21">
        <f>[60]PARS_utr_stat!B7</f>
        <v>100</v>
      </c>
      <c r="D7" s="21">
        <f>[60]PARS_utr_stat!C7</f>
        <v>43</v>
      </c>
      <c r="E7" s="22">
        <f>C7/(C6+C7)</f>
        <v>0.49504950495049505</v>
      </c>
      <c r="F7" s="22">
        <f>D7/(D6+D7)</f>
        <v>0.30714285714285716</v>
      </c>
      <c r="I7" s="60"/>
      <c r="J7" s="21" t="s">
        <v>22</v>
      </c>
      <c r="K7" s="22">
        <f t="shared" si="0"/>
        <v>0.49504950495049505</v>
      </c>
      <c r="L7" s="22">
        <f t="shared" si="0"/>
        <v>0.30714285714285716</v>
      </c>
      <c r="O7" s="21">
        <v>5</v>
      </c>
      <c r="P7" s="7">
        <f t="shared" ca="1" si="4"/>
        <v>0.46534653465346537</v>
      </c>
      <c r="Q7" s="7">
        <f t="shared" ca="1" si="3"/>
        <v>0.53465346534653468</v>
      </c>
      <c r="R7" s="7">
        <f t="shared" ca="1" si="1"/>
        <v>0.61250000000000004</v>
      </c>
      <c r="S7" s="7">
        <f t="shared" ca="1" si="2"/>
        <v>0.38750000000000001</v>
      </c>
    </row>
    <row r="8" spans="1:19" x14ac:dyDescent="0.15">
      <c r="A8" s="60">
        <v>4</v>
      </c>
      <c r="B8" s="21" t="s">
        <v>21</v>
      </c>
      <c r="C8" s="21">
        <f>[60]PARS_utr_stat!B8</f>
        <v>64</v>
      </c>
      <c r="D8" s="21">
        <f>[60]PARS_utr_stat!C8</f>
        <v>58</v>
      </c>
      <c r="E8" s="22">
        <f>C8/(C8+C9)</f>
        <v>0.5423728813559322</v>
      </c>
      <c r="F8" s="22">
        <f>D8/(D8+D9)</f>
        <v>0.64444444444444449</v>
      </c>
      <c r="I8" s="60">
        <v>4</v>
      </c>
      <c r="J8" s="21" t="s">
        <v>21</v>
      </c>
      <c r="K8" s="22">
        <f t="shared" si="0"/>
        <v>0.5423728813559322</v>
      </c>
      <c r="L8" s="22">
        <f t="shared" si="0"/>
        <v>0.64444444444444449</v>
      </c>
      <c r="O8" s="21">
        <v>6</v>
      </c>
      <c r="P8" s="7">
        <f t="shared" ca="1" si="4"/>
        <v>0.5730337078651685</v>
      </c>
      <c r="Q8" s="7">
        <f t="shared" ca="1" si="3"/>
        <v>0.42696629213483145</v>
      </c>
      <c r="R8" s="7">
        <f t="shared" ca="1" si="1"/>
        <v>0.61764705882352944</v>
      </c>
      <c r="S8" s="7">
        <f t="shared" ca="1" si="2"/>
        <v>0.38235294117647056</v>
      </c>
    </row>
    <row r="9" spans="1:19" x14ac:dyDescent="0.15">
      <c r="A9" s="60"/>
      <c r="B9" s="21" t="s">
        <v>22</v>
      </c>
      <c r="C9" s="21">
        <f>[60]PARS_utr_stat!B9</f>
        <v>54</v>
      </c>
      <c r="D9" s="21">
        <f>[60]PARS_utr_stat!C9</f>
        <v>32</v>
      </c>
      <c r="E9" s="22">
        <f>C9/(C8+C9)</f>
        <v>0.4576271186440678</v>
      </c>
      <c r="F9" s="22">
        <f>D9/(D8+D9)</f>
        <v>0.35555555555555557</v>
      </c>
      <c r="I9" s="60"/>
      <c r="J9" s="21" t="s">
        <v>22</v>
      </c>
      <c r="K9" s="22">
        <f t="shared" si="0"/>
        <v>0.4576271186440678</v>
      </c>
      <c r="L9" s="22">
        <f t="shared" si="0"/>
        <v>0.35555555555555557</v>
      </c>
      <c r="O9" s="21">
        <v>7</v>
      </c>
      <c r="P9" s="7">
        <f ca="1">INDIRECT("K"&amp;ROW(K7)*2)</f>
        <v>0.47619047619047616</v>
      </c>
      <c r="Q9" s="7">
        <f t="shared" ca="1" si="3"/>
        <v>0.52380952380952384</v>
      </c>
      <c r="R9" s="7">
        <f t="shared" ca="1" si="1"/>
        <v>0.6428571428571429</v>
      </c>
      <c r="S9" s="7">
        <f t="shared" ca="1" si="2"/>
        <v>0.35714285714285715</v>
      </c>
    </row>
    <row r="10" spans="1:19" x14ac:dyDescent="0.15">
      <c r="A10" s="60">
        <v>5</v>
      </c>
      <c r="B10" s="21" t="s">
        <v>21</v>
      </c>
      <c r="C10" s="21">
        <f>[60]PARS_utr_stat!B10</f>
        <v>47</v>
      </c>
      <c r="D10" s="21">
        <f>[60]PARS_utr_stat!C10</f>
        <v>49</v>
      </c>
      <c r="E10" s="22">
        <f>C10/(C10+C11)</f>
        <v>0.46534653465346537</v>
      </c>
      <c r="F10" s="22">
        <f>D10/(D10+D11)</f>
        <v>0.61250000000000004</v>
      </c>
      <c r="I10" s="60">
        <v>5</v>
      </c>
      <c r="J10" s="21" t="s">
        <v>21</v>
      </c>
      <c r="K10" s="22">
        <f t="shared" si="0"/>
        <v>0.46534653465346537</v>
      </c>
      <c r="L10" s="22">
        <f t="shared" si="0"/>
        <v>0.61250000000000004</v>
      </c>
      <c r="O10" s="21">
        <v>8</v>
      </c>
      <c r="P10" s="7">
        <f ca="1">INDIRECT("K"&amp;ROW(K8)*2)</f>
        <v>0.50769230769230766</v>
      </c>
      <c r="Q10" s="7">
        <f t="shared" ca="1" si="3"/>
        <v>0.49230769230769234</v>
      </c>
      <c r="R10" s="7">
        <f t="shared" ca="1" si="1"/>
        <v>0.59459459459459463</v>
      </c>
      <c r="S10" s="7">
        <f t="shared" ca="1" si="2"/>
        <v>0.40540540540540543</v>
      </c>
    </row>
    <row r="11" spans="1:19" x14ac:dyDescent="0.15">
      <c r="A11" s="60"/>
      <c r="B11" s="21" t="s">
        <v>22</v>
      </c>
      <c r="C11" s="21">
        <f>[60]PARS_utr_stat!B11</f>
        <v>54</v>
      </c>
      <c r="D11" s="21">
        <f>[60]PARS_utr_stat!C11</f>
        <v>31</v>
      </c>
      <c r="E11" s="22">
        <f>C11/(C10+C11)</f>
        <v>0.53465346534653468</v>
      </c>
      <c r="F11" s="22">
        <f>D11/(D10+D11)</f>
        <v>0.38750000000000001</v>
      </c>
      <c r="I11" s="60"/>
      <c r="J11" s="21" t="s">
        <v>22</v>
      </c>
      <c r="K11" s="22">
        <f t="shared" si="0"/>
        <v>0.53465346534653468</v>
      </c>
      <c r="L11" s="22">
        <f t="shared" si="0"/>
        <v>0.38750000000000001</v>
      </c>
      <c r="O11" s="21">
        <v>9</v>
      </c>
      <c r="P11" s="7">
        <f t="shared" ref="P11:P74" ca="1" si="5">INDIRECT("K"&amp;ROW(K9)*2)</f>
        <v>0.59459459459459463</v>
      </c>
      <c r="Q11" s="7">
        <f t="shared" ca="1" si="3"/>
        <v>0.40540540540540543</v>
      </c>
      <c r="R11" s="7">
        <f t="shared" ca="1" si="1"/>
        <v>0.64814814814814814</v>
      </c>
      <c r="S11" s="7">
        <f t="shared" ca="1" si="2"/>
        <v>0.35185185185185186</v>
      </c>
    </row>
    <row r="12" spans="1:19" x14ac:dyDescent="0.15">
      <c r="A12" s="60">
        <v>6</v>
      </c>
      <c r="B12" s="21" t="s">
        <v>21</v>
      </c>
      <c r="C12" s="21">
        <f>[60]PARS_utr_stat!B12</f>
        <v>51</v>
      </c>
      <c r="D12" s="21">
        <f>[60]PARS_utr_stat!C12</f>
        <v>42</v>
      </c>
      <c r="E12" s="22">
        <f t="shared" ref="E12:F12" si="6">C12/(C12+C13)</f>
        <v>0.5730337078651685</v>
      </c>
      <c r="F12" s="22">
        <f t="shared" si="6"/>
        <v>0.61764705882352944</v>
      </c>
      <c r="I12" s="60">
        <v>6</v>
      </c>
      <c r="J12" s="21" t="s">
        <v>21</v>
      </c>
      <c r="K12" s="22">
        <f t="shared" si="0"/>
        <v>0.5730337078651685</v>
      </c>
      <c r="L12" s="22">
        <f t="shared" si="0"/>
        <v>0.61764705882352944</v>
      </c>
      <c r="O12" s="21">
        <v>10</v>
      </c>
      <c r="P12" s="7">
        <f t="shared" ca="1" si="5"/>
        <v>0.48333333333333334</v>
      </c>
      <c r="Q12" s="7">
        <f t="shared" ca="1" si="3"/>
        <v>0.51666666666666672</v>
      </c>
      <c r="R12" s="7">
        <f t="shared" ca="1" si="1"/>
        <v>0.68627450980392157</v>
      </c>
      <c r="S12" s="7">
        <f t="shared" ca="1" si="2"/>
        <v>0.31372549019607843</v>
      </c>
    </row>
    <row r="13" spans="1:19" x14ac:dyDescent="0.15">
      <c r="A13" s="60"/>
      <c r="B13" s="21" t="s">
        <v>22</v>
      </c>
      <c r="C13" s="21">
        <f>[60]PARS_utr_stat!B13</f>
        <v>38</v>
      </c>
      <c r="D13" s="21">
        <f>[60]PARS_utr_stat!C13</f>
        <v>26</v>
      </c>
      <c r="E13" s="22">
        <f t="shared" ref="E13:F13" si="7">C13/(C12+C13)</f>
        <v>0.42696629213483145</v>
      </c>
      <c r="F13" s="22">
        <f t="shared" si="7"/>
        <v>0.38235294117647056</v>
      </c>
      <c r="I13" s="60"/>
      <c r="J13" s="21" t="s">
        <v>22</v>
      </c>
      <c r="K13" s="22">
        <f t="shared" si="0"/>
        <v>0.42696629213483145</v>
      </c>
      <c r="L13" s="22">
        <f t="shared" si="0"/>
        <v>0.38235294117647056</v>
      </c>
      <c r="O13" s="21">
        <v>11</v>
      </c>
      <c r="P13" s="7">
        <f t="shared" ca="1" si="5"/>
        <v>0.45945945945945948</v>
      </c>
      <c r="Q13" s="7">
        <f t="shared" ca="1" si="3"/>
        <v>0.54054054054054057</v>
      </c>
      <c r="R13" s="7">
        <f t="shared" ca="1" si="1"/>
        <v>0.57692307692307687</v>
      </c>
      <c r="S13" s="7">
        <f t="shared" ca="1" si="2"/>
        <v>0.42307692307692307</v>
      </c>
    </row>
    <row r="14" spans="1:19" x14ac:dyDescent="0.15">
      <c r="A14" s="60">
        <v>7</v>
      </c>
      <c r="B14" s="21" t="s">
        <v>21</v>
      </c>
      <c r="C14" s="21">
        <f>[60]PARS_utr_stat!B14</f>
        <v>30</v>
      </c>
      <c r="D14" s="21">
        <f>[60]PARS_utr_stat!C14</f>
        <v>36</v>
      </c>
      <c r="E14" s="22">
        <f t="shared" ref="E14:F14" si="8">C14/(C14+C15)</f>
        <v>0.47619047619047616</v>
      </c>
      <c r="F14" s="22">
        <f t="shared" si="8"/>
        <v>0.6428571428571429</v>
      </c>
      <c r="I14" s="60">
        <v>7</v>
      </c>
      <c r="J14" s="21" t="s">
        <v>21</v>
      </c>
      <c r="K14" s="22">
        <f t="shared" si="0"/>
        <v>0.47619047619047616</v>
      </c>
      <c r="L14" s="22">
        <f t="shared" si="0"/>
        <v>0.6428571428571429</v>
      </c>
      <c r="O14" s="21">
        <v>12</v>
      </c>
      <c r="P14" s="7">
        <f t="shared" ca="1" si="5"/>
        <v>0.61904761904761907</v>
      </c>
      <c r="Q14" s="7">
        <f t="shared" ca="1" si="3"/>
        <v>0.38095238095238093</v>
      </c>
      <c r="R14" s="7">
        <f t="shared" ca="1" si="1"/>
        <v>0.76</v>
      </c>
      <c r="S14" s="7">
        <f t="shared" ca="1" si="2"/>
        <v>0.24</v>
      </c>
    </row>
    <row r="15" spans="1:19" x14ac:dyDescent="0.15">
      <c r="A15" s="60"/>
      <c r="B15" s="21" t="s">
        <v>22</v>
      </c>
      <c r="C15" s="21">
        <f>[60]PARS_utr_stat!B15</f>
        <v>33</v>
      </c>
      <c r="D15" s="21">
        <f>[60]PARS_utr_stat!C15</f>
        <v>20</v>
      </c>
      <c r="E15" s="22">
        <f t="shared" ref="E15:F15" si="9">C15/(C14+C15)</f>
        <v>0.52380952380952384</v>
      </c>
      <c r="F15" s="22">
        <f t="shared" si="9"/>
        <v>0.35714285714285715</v>
      </c>
      <c r="I15" s="60"/>
      <c r="J15" s="21" t="s">
        <v>22</v>
      </c>
      <c r="K15" s="22">
        <f t="shared" si="0"/>
        <v>0.52380952380952384</v>
      </c>
      <c r="L15" s="22">
        <f t="shared" si="0"/>
        <v>0.35714285714285715</v>
      </c>
      <c r="O15" s="21">
        <v>13</v>
      </c>
      <c r="P15" s="7">
        <f t="shared" ca="1" si="5"/>
        <v>0.41379310344827586</v>
      </c>
      <c r="Q15" s="7">
        <f t="shared" ca="1" si="3"/>
        <v>0.58620689655172409</v>
      </c>
      <c r="R15" s="7">
        <f t="shared" ca="1" si="1"/>
        <v>0.68181818181818177</v>
      </c>
      <c r="S15" s="7">
        <f t="shared" ca="1" si="2"/>
        <v>0.31818181818181818</v>
      </c>
    </row>
    <row r="16" spans="1:19" x14ac:dyDescent="0.15">
      <c r="A16" s="60">
        <v>8</v>
      </c>
      <c r="B16" s="21" t="s">
        <v>21</v>
      </c>
      <c r="C16" s="21">
        <f>[60]PARS_utr_stat!B16</f>
        <v>33</v>
      </c>
      <c r="D16" s="21">
        <f>[60]PARS_utr_stat!C16</f>
        <v>22</v>
      </c>
      <c r="E16" s="22">
        <f t="shared" ref="E16:F16" si="10">C16/(C16+C17)</f>
        <v>0.50769230769230766</v>
      </c>
      <c r="F16" s="22">
        <f t="shared" si="10"/>
        <v>0.59459459459459463</v>
      </c>
      <c r="I16" s="60">
        <v>8</v>
      </c>
      <c r="J16" s="21" t="s">
        <v>21</v>
      </c>
      <c r="K16" s="22">
        <f t="shared" si="0"/>
        <v>0.50769230769230766</v>
      </c>
      <c r="L16" s="22">
        <f t="shared" si="0"/>
        <v>0.59459459459459463</v>
      </c>
      <c r="O16" s="21">
        <v>14</v>
      </c>
      <c r="P16" s="7">
        <f t="shared" ca="1" si="5"/>
        <v>0.47058823529411764</v>
      </c>
      <c r="Q16" s="7">
        <f t="shared" ca="1" si="3"/>
        <v>0.52941176470588236</v>
      </c>
      <c r="R16" s="7">
        <f t="shared" ca="1" si="1"/>
        <v>0.375</v>
      </c>
      <c r="S16" s="7">
        <f t="shared" ca="1" si="2"/>
        <v>0.625</v>
      </c>
    </row>
    <row r="17" spans="1:19" x14ac:dyDescent="0.15">
      <c r="A17" s="60"/>
      <c r="B17" s="21" t="s">
        <v>22</v>
      </c>
      <c r="C17" s="21">
        <f>[60]PARS_utr_stat!B17</f>
        <v>32</v>
      </c>
      <c r="D17" s="21">
        <f>[60]PARS_utr_stat!C17</f>
        <v>15</v>
      </c>
      <c r="E17" s="22">
        <f t="shared" ref="E17:F17" si="11">C17/(C16+C17)</f>
        <v>0.49230769230769234</v>
      </c>
      <c r="F17" s="22">
        <f t="shared" si="11"/>
        <v>0.40540540540540543</v>
      </c>
      <c r="I17" s="60"/>
      <c r="J17" s="21" t="s">
        <v>22</v>
      </c>
      <c r="K17" s="22">
        <f t="shared" si="0"/>
        <v>0.49230769230769234</v>
      </c>
      <c r="L17" s="22">
        <f t="shared" si="0"/>
        <v>0.40540540540540543</v>
      </c>
      <c r="O17" s="21">
        <v>15</v>
      </c>
      <c r="P17" s="7">
        <f t="shared" ca="1" si="5"/>
        <v>0.32142857142857145</v>
      </c>
      <c r="Q17" s="7">
        <f t="shared" ca="1" si="3"/>
        <v>0.6785714285714286</v>
      </c>
      <c r="R17" s="7">
        <f t="shared" ca="1" si="1"/>
        <v>0.60869565217391308</v>
      </c>
      <c r="S17" s="7">
        <f t="shared" ca="1" si="2"/>
        <v>0.39130434782608697</v>
      </c>
    </row>
    <row r="18" spans="1:19" x14ac:dyDescent="0.15">
      <c r="A18" s="60">
        <v>9</v>
      </c>
      <c r="B18" s="21" t="s">
        <v>21</v>
      </c>
      <c r="C18" s="21">
        <f>[60]PARS_utr_stat!B18</f>
        <v>44</v>
      </c>
      <c r="D18" s="21">
        <f>[60]PARS_utr_stat!C18</f>
        <v>35</v>
      </c>
      <c r="E18" s="22">
        <f t="shared" ref="E18:F18" si="12">C18/(C18+C19)</f>
        <v>0.59459459459459463</v>
      </c>
      <c r="F18" s="22">
        <f t="shared" si="12"/>
        <v>0.64814814814814814</v>
      </c>
      <c r="I18" s="60">
        <v>9</v>
      </c>
      <c r="J18" s="21" t="s">
        <v>21</v>
      </c>
      <c r="K18" s="22">
        <f t="shared" si="0"/>
        <v>0.59459459459459463</v>
      </c>
      <c r="L18" s="22">
        <f t="shared" si="0"/>
        <v>0.64814814814814814</v>
      </c>
      <c r="O18" s="21">
        <v>16</v>
      </c>
      <c r="P18" s="7">
        <f t="shared" ca="1" si="5"/>
        <v>0.5</v>
      </c>
      <c r="Q18" s="7">
        <f t="shared" ca="1" si="3"/>
        <v>0.5</v>
      </c>
      <c r="R18" s="7">
        <f t="shared" ca="1" si="1"/>
        <v>0.72222222222222221</v>
      </c>
      <c r="S18" s="7">
        <f t="shared" ca="1" si="2"/>
        <v>0.27777777777777779</v>
      </c>
    </row>
    <row r="19" spans="1:19" x14ac:dyDescent="0.15">
      <c r="A19" s="60"/>
      <c r="B19" s="21" t="s">
        <v>22</v>
      </c>
      <c r="C19" s="21">
        <f>[60]PARS_utr_stat!B19</f>
        <v>30</v>
      </c>
      <c r="D19" s="21">
        <f>[60]PARS_utr_stat!C19</f>
        <v>19</v>
      </c>
      <c r="E19" s="22">
        <f t="shared" ref="E19:F19" si="13">C19/(C18+C19)</f>
        <v>0.40540540540540543</v>
      </c>
      <c r="F19" s="22">
        <f t="shared" si="13"/>
        <v>0.35185185185185186</v>
      </c>
      <c r="I19" s="60"/>
      <c r="J19" s="21" t="s">
        <v>22</v>
      </c>
      <c r="K19" s="22">
        <f t="shared" si="0"/>
        <v>0.40540540540540543</v>
      </c>
      <c r="L19" s="22">
        <f t="shared" si="0"/>
        <v>0.35185185185185186</v>
      </c>
      <c r="O19" s="21">
        <v>17</v>
      </c>
      <c r="P19" s="7">
        <f t="shared" ca="1" si="5"/>
        <v>0.65</v>
      </c>
      <c r="Q19" s="7">
        <f t="shared" ca="1" si="3"/>
        <v>0.35</v>
      </c>
      <c r="R19" s="7">
        <f t="shared" ca="1" si="1"/>
        <v>0.91666666666666663</v>
      </c>
      <c r="S19" s="7">
        <f t="shared" ca="1" si="2"/>
        <v>8.3333333333333329E-2</v>
      </c>
    </row>
    <row r="20" spans="1:19" x14ac:dyDescent="0.15">
      <c r="A20" s="60">
        <v>10</v>
      </c>
      <c r="B20" s="21" t="s">
        <v>21</v>
      </c>
      <c r="C20" s="21">
        <f>[60]PARS_utr_stat!B20</f>
        <v>29</v>
      </c>
      <c r="D20" s="21">
        <f>[60]PARS_utr_stat!C20</f>
        <v>35</v>
      </c>
      <c r="E20" s="22">
        <f t="shared" ref="E20:F20" si="14">C20/(C20+C21)</f>
        <v>0.48333333333333334</v>
      </c>
      <c r="F20" s="22">
        <f t="shared" si="14"/>
        <v>0.68627450980392157</v>
      </c>
      <c r="I20" s="60">
        <v>10</v>
      </c>
      <c r="J20" s="21" t="s">
        <v>21</v>
      </c>
      <c r="K20" s="22">
        <f t="shared" si="0"/>
        <v>0.48333333333333334</v>
      </c>
      <c r="L20" s="22">
        <f t="shared" si="0"/>
        <v>0.68627450980392157</v>
      </c>
      <c r="O20" s="21">
        <v>18</v>
      </c>
      <c r="P20" s="7">
        <f t="shared" ca="1" si="5"/>
        <v>0.27272727272727271</v>
      </c>
      <c r="Q20" s="7">
        <f t="shared" ca="1" si="3"/>
        <v>0.72727272727272729</v>
      </c>
      <c r="R20" s="7">
        <f t="shared" ca="1" si="1"/>
        <v>0.76470588235294112</v>
      </c>
      <c r="S20" s="7">
        <f t="shared" ca="1" si="2"/>
        <v>0.23529411764705882</v>
      </c>
    </row>
    <row r="21" spans="1:19" x14ac:dyDescent="0.15">
      <c r="A21" s="60"/>
      <c r="B21" s="21" t="s">
        <v>22</v>
      </c>
      <c r="C21" s="21">
        <f>[60]PARS_utr_stat!B21</f>
        <v>31</v>
      </c>
      <c r="D21" s="21">
        <f>[60]PARS_utr_stat!C21</f>
        <v>16</v>
      </c>
      <c r="E21" s="22">
        <f t="shared" ref="E21:F21" si="15">C21/(C20+C21)</f>
        <v>0.51666666666666672</v>
      </c>
      <c r="F21" s="22">
        <f t="shared" si="15"/>
        <v>0.31372549019607843</v>
      </c>
      <c r="I21" s="60"/>
      <c r="J21" s="21" t="s">
        <v>22</v>
      </c>
      <c r="K21" s="22">
        <f t="shared" si="0"/>
        <v>0.51666666666666672</v>
      </c>
      <c r="L21" s="22">
        <f t="shared" si="0"/>
        <v>0.31372549019607843</v>
      </c>
      <c r="O21" s="21">
        <v>19</v>
      </c>
      <c r="P21" s="7">
        <f t="shared" ca="1" si="5"/>
        <v>0.56521739130434778</v>
      </c>
      <c r="Q21" s="7">
        <f t="shared" ca="1" si="3"/>
        <v>0.43478260869565216</v>
      </c>
      <c r="R21" s="7">
        <f t="shared" ca="1" si="1"/>
        <v>0.66666666666666663</v>
      </c>
      <c r="S21" s="7">
        <f t="shared" ca="1" si="2"/>
        <v>0.33333333333333331</v>
      </c>
    </row>
    <row r="22" spans="1:19" x14ac:dyDescent="0.15">
      <c r="A22" s="60">
        <v>11</v>
      </c>
      <c r="B22" s="21" t="s">
        <v>21</v>
      </c>
      <c r="C22" s="21">
        <f>[60]PARS_utr_stat!B22</f>
        <v>17</v>
      </c>
      <c r="D22" s="21">
        <f>[60]PARS_utr_stat!C22</f>
        <v>15</v>
      </c>
      <c r="E22" s="22">
        <f t="shared" ref="E22:F22" si="16">C22/(C22+C23)</f>
        <v>0.45945945945945948</v>
      </c>
      <c r="F22" s="22">
        <f t="shared" si="16"/>
        <v>0.57692307692307687</v>
      </c>
      <c r="I22" s="60">
        <v>11</v>
      </c>
      <c r="J22" s="21" t="s">
        <v>21</v>
      </c>
      <c r="K22" s="22">
        <f t="shared" si="0"/>
        <v>0.45945945945945948</v>
      </c>
      <c r="L22" s="22">
        <f t="shared" si="0"/>
        <v>0.57692307692307687</v>
      </c>
      <c r="O22" s="21">
        <v>20</v>
      </c>
      <c r="P22" s="7">
        <f t="shared" ca="1" si="5"/>
        <v>0.54545454545454541</v>
      </c>
      <c r="Q22" s="7">
        <f t="shared" ca="1" si="3"/>
        <v>0.45454545454545453</v>
      </c>
      <c r="R22" s="7">
        <f t="shared" ca="1" si="1"/>
        <v>0.5</v>
      </c>
      <c r="S22" s="7">
        <f t="shared" ca="1" si="2"/>
        <v>0.5</v>
      </c>
    </row>
    <row r="23" spans="1:19" x14ac:dyDescent="0.15">
      <c r="A23" s="60"/>
      <c r="B23" s="21" t="s">
        <v>22</v>
      </c>
      <c r="C23" s="21">
        <f>[60]PARS_utr_stat!B23</f>
        <v>20</v>
      </c>
      <c r="D23" s="21">
        <f>[60]PARS_utr_stat!C23</f>
        <v>11</v>
      </c>
      <c r="E23" s="22">
        <f t="shared" ref="E23:F23" si="17">C23/(C22+C23)</f>
        <v>0.54054054054054057</v>
      </c>
      <c r="F23" s="22">
        <f t="shared" si="17"/>
        <v>0.42307692307692307</v>
      </c>
      <c r="I23" s="60"/>
      <c r="J23" s="21" t="s">
        <v>22</v>
      </c>
      <c r="K23" s="22">
        <f t="shared" si="0"/>
        <v>0.54054054054054057</v>
      </c>
      <c r="L23" s="22">
        <f t="shared" si="0"/>
        <v>0.42307692307692307</v>
      </c>
      <c r="O23" s="21">
        <v>21</v>
      </c>
      <c r="P23" s="7">
        <f t="shared" ca="1" si="5"/>
        <v>0.58823529411764708</v>
      </c>
      <c r="Q23" s="7">
        <f t="shared" ca="1" si="3"/>
        <v>0.41176470588235292</v>
      </c>
      <c r="R23" s="7">
        <f t="shared" ca="1" si="1"/>
        <v>0.66666666666666663</v>
      </c>
      <c r="S23" s="7">
        <f t="shared" ca="1" si="2"/>
        <v>0.33333333333333331</v>
      </c>
    </row>
    <row r="24" spans="1:19" x14ac:dyDescent="0.15">
      <c r="A24" s="60">
        <v>12</v>
      </c>
      <c r="B24" s="21" t="s">
        <v>21</v>
      </c>
      <c r="C24" s="21">
        <f>[60]PARS_utr_stat!B24</f>
        <v>13</v>
      </c>
      <c r="D24" s="21">
        <f>[60]PARS_utr_stat!C24</f>
        <v>19</v>
      </c>
      <c r="E24" s="22">
        <f t="shared" ref="E24:F24" si="18">C24/(C24+C25)</f>
        <v>0.61904761904761907</v>
      </c>
      <c r="F24" s="22">
        <f t="shared" si="18"/>
        <v>0.76</v>
      </c>
      <c r="I24" s="60">
        <v>12</v>
      </c>
      <c r="J24" s="21" t="s">
        <v>21</v>
      </c>
      <c r="K24" s="22">
        <f t="shared" si="0"/>
        <v>0.61904761904761907</v>
      </c>
      <c r="L24" s="22">
        <f t="shared" si="0"/>
        <v>0.76</v>
      </c>
      <c r="O24" s="21">
        <v>22</v>
      </c>
      <c r="P24" s="7">
        <f t="shared" ca="1" si="5"/>
        <v>0.42857142857142855</v>
      </c>
      <c r="Q24" s="7">
        <f t="shared" ca="1" si="3"/>
        <v>0.5714285714285714</v>
      </c>
      <c r="R24" s="7">
        <f t="shared" ca="1" si="1"/>
        <v>0.25</v>
      </c>
      <c r="S24" s="7">
        <f t="shared" ca="1" si="2"/>
        <v>0.75</v>
      </c>
    </row>
    <row r="25" spans="1:19" x14ac:dyDescent="0.15">
      <c r="A25" s="60"/>
      <c r="B25" s="21" t="s">
        <v>22</v>
      </c>
      <c r="C25" s="21">
        <f>[60]PARS_utr_stat!B25</f>
        <v>8</v>
      </c>
      <c r="D25" s="21">
        <f>[60]PARS_utr_stat!C25</f>
        <v>6</v>
      </c>
      <c r="E25" s="22">
        <f t="shared" ref="E25:F25" si="19">C25/(C24+C25)</f>
        <v>0.38095238095238093</v>
      </c>
      <c r="F25" s="22">
        <f t="shared" si="19"/>
        <v>0.24</v>
      </c>
      <c r="I25" s="60"/>
      <c r="J25" s="21" t="s">
        <v>22</v>
      </c>
      <c r="K25" s="22">
        <f t="shared" si="0"/>
        <v>0.38095238095238093</v>
      </c>
      <c r="L25" s="22">
        <f t="shared" si="0"/>
        <v>0.24</v>
      </c>
      <c r="O25" s="21">
        <v>23</v>
      </c>
      <c r="P25" s="7">
        <f t="shared" ca="1" si="5"/>
        <v>0.55555555555555558</v>
      </c>
      <c r="Q25" s="7">
        <f t="shared" ca="1" si="3"/>
        <v>0.44444444444444442</v>
      </c>
      <c r="R25" s="7">
        <f t="shared" ca="1" si="1"/>
        <v>0.55555555555555558</v>
      </c>
      <c r="S25" s="7">
        <f t="shared" ca="1" si="2"/>
        <v>0.44444444444444442</v>
      </c>
    </row>
    <row r="26" spans="1:19" x14ac:dyDescent="0.15">
      <c r="A26" s="60">
        <v>13</v>
      </c>
      <c r="B26" s="21" t="s">
        <v>21</v>
      </c>
      <c r="C26" s="21">
        <f>[60]PARS_utr_stat!B26</f>
        <v>12</v>
      </c>
      <c r="D26" s="21">
        <f>[60]PARS_utr_stat!C26</f>
        <v>15</v>
      </c>
      <c r="E26" s="22">
        <f t="shared" ref="E26:F26" si="20">C26/(C26+C27)</f>
        <v>0.41379310344827586</v>
      </c>
      <c r="F26" s="22">
        <f t="shared" si="20"/>
        <v>0.68181818181818177</v>
      </c>
      <c r="I26" s="60">
        <v>13</v>
      </c>
      <c r="J26" s="21" t="s">
        <v>21</v>
      </c>
      <c r="K26" s="22">
        <f t="shared" si="0"/>
        <v>0.41379310344827586</v>
      </c>
      <c r="L26" s="22">
        <f t="shared" si="0"/>
        <v>0.68181818181818177</v>
      </c>
      <c r="O26" s="21">
        <v>24</v>
      </c>
      <c r="P26" s="7">
        <f t="shared" ca="1" si="5"/>
        <v>0.5</v>
      </c>
      <c r="Q26" s="7">
        <f t="shared" ca="1" si="3"/>
        <v>0.5</v>
      </c>
      <c r="R26" s="7">
        <f t="shared" ca="1" si="1"/>
        <v>0.5714285714285714</v>
      </c>
      <c r="S26" s="7">
        <f t="shared" ca="1" si="2"/>
        <v>0.42857142857142855</v>
      </c>
    </row>
    <row r="27" spans="1:19" x14ac:dyDescent="0.15">
      <c r="A27" s="60"/>
      <c r="B27" s="21" t="s">
        <v>22</v>
      </c>
      <c r="C27" s="21">
        <f>[60]PARS_utr_stat!B27</f>
        <v>17</v>
      </c>
      <c r="D27" s="21">
        <f>[60]PARS_utr_stat!C27</f>
        <v>7</v>
      </c>
      <c r="E27" s="22">
        <f t="shared" ref="E27:F27" si="21">C27/(C26+C27)</f>
        <v>0.58620689655172409</v>
      </c>
      <c r="F27" s="22">
        <f t="shared" si="21"/>
        <v>0.31818181818181818</v>
      </c>
      <c r="I27" s="60"/>
      <c r="J27" s="21" t="s">
        <v>22</v>
      </c>
      <c r="K27" s="22">
        <f t="shared" si="0"/>
        <v>0.58620689655172409</v>
      </c>
      <c r="L27" s="22">
        <f t="shared" si="0"/>
        <v>0.31818181818181818</v>
      </c>
      <c r="O27" s="21">
        <v>25</v>
      </c>
      <c r="P27" s="7">
        <f t="shared" ca="1" si="5"/>
        <v>0.5625</v>
      </c>
      <c r="Q27" s="7">
        <f t="shared" ca="1" si="3"/>
        <v>0.4375</v>
      </c>
      <c r="R27" s="7">
        <f t="shared" ca="1" si="1"/>
        <v>0.66666666666666663</v>
      </c>
      <c r="S27" s="7">
        <f t="shared" ca="1" si="2"/>
        <v>0.33333333333333331</v>
      </c>
    </row>
    <row r="28" spans="1:19" x14ac:dyDescent="0.15">
      <c r="A28" s="60">
        <v>14</v>
      </c>
      <c r="B28" s="21" t="s">
        <v>21</v>
      </c>
      <c r="C28" s="21">
        <f>[60]PARS_utr_stat!B28</f>
        <v>16</v>
      </c>
      <c r="D28" s="21">
        <f>[60]PARS_utr_stat!C28</f>
        <v>6</v>
      </c>
      <c r="E28" s="22">
        <f t="shared" ref="E28:F28" si="22">C28/(C28+C29)</f>
        <v>0.47058823529411764</v>
      </c>
      <c r="F28" s="22">
        <f t="shared" si="22"/>
        <v>0.375</v>
      </c>
      <c r="I28" s="60">
        <v>14</v>
      </c>
      <c r="J28" s="21" t="s">
        <v>21</v>
      </c>
      <c r="K28" s="22">
        <f t="shared" si="0"/>
        <v>0.47058823529411764</v>
      </c>
      <c r="L28" s="22">
        <f t="shared" si="0"/>
        <v>0.375</v>
      </c>
      <c r="O28" s="21">
        <v>26</v>
      </c>
      <c r="P28" s="7">
        <f t="shared" ca="1" si="5"/>
        <v>0.38461538461538464</v>
      </c>
      <c r="Q28" s="7">
        <f t="shared" ca="1" si="3"/>
        <v>0.61538461538461542</v>
      </c>
      <c r="R28" s="7">
        <f t="shared" ca="1" si="1"/>
        <v>0.61538461538461542</v>
      </c>
      <c r="S28" s="7">
        <f t="shared" ca="1" si="2"/>
        <v>0.38461538461538464</v>
      </c>
    </row>
    <row r="29" spans="1:19" x14ac:dyDescent="0.15">
      <c r="A29" s="60"/>
      <c r="B29" s="21" t="s">
        <v>22</v>
      </c>
      <c r="C29" s="21">
        <f>[60]PARS_utr_stat!B29</f>
        <v>18</v>
      </c>
      <c r="D29" s="21">
        <f>[60]PARS_utr_stat!C29</f>
        <v>10</v>
      </c>
      <c r="E29" s="22">
        <f t="shared" ref="E29:F29" si="23">C29/(C28+C29)</f>
        <v>0.52941176470588236</v>
      </c>
      <c r="F29" s="22">
        <f t="shared" si="23"/>
        <v>0.625</v>
      </c>
      <c r="I29" s="60"/>
      <c r="J29" s="21" t="s">
        <v>22</v>
      </c>
      <c r="K29" s="22">
        <f t="shared" si="0"/>
        <v>0.52941176470588236</v>
      </c>
      <c r="L29" s="22">
        <f t="shared" si="0"/>
        <v>0.625</v>
      </c>
      <c r="O29" s="21">
        <v>27</v>
      </c>
      <c r="P29" s="7">
        <f t="shared" ca="1" si="5"/>
        <v>0.7142857142857143</v>
      </c>
      <c r="Q29" s="7">
        <f t="shared" ca="1" si="3"/>
        <v>0.2857142857142857</v>
      </c>
      <c r="R29" s="7">
        <f t="shared" ca="1" si="1"/>
        <v>0.66666666666666663</v>
      </c>
      <c r="S29" s="7">
        <f t="shared" ca="1" si="2"/>
        <v>0.33333333333333331</v>
      </c>
    </row>
    <row r="30" spans="1:19" x14ac:dyDescent="0.15">
      <c r="A30" s="60">
        <v>15</v>
      </c>
      <c r="B30" s="21" t="s">
        <v>21</v>
      </c>
      <c r="C30" s="21">
        <f>[60]PARS_utr_stat!B30</f>
        <v>9</v>
      </c>
      <c r="D30" s="21">
        <f>[60]PARS_utr_stat!C30</f>
        <v>14</v>
      </c>
      <c r="E30" s="22">
        <f t="shared" ref="E30:F30" si="24">C30/(C30+C31)</f>
        <v>0.32142857142857145</v>
      </c>
      <c r="F30" s="22">
        <f t="shared" si="24"/>
        <v>0.60869565217391308</v>
      </c>
      <c r="I30" s="60">
        <v>15</v>
      </c>
      <c r="J30" s="21" t="s">
        <v>21</v>
      </c>
      <c r="K30" s="22">
        <f t="shared" si="0"/>
        <v>0.32142857142857145</v>
      </c>
      <c r="L30" s="22">
        <f t="shared" si="0"/>
        <v>0.60869565217391308</v>
      </c>
      <c r="O30" s="21">
        <v>28</v>
      </c>
      <c r="P30" s="7">
        <f t="shared" ca="1" si="5"/>
        <v>0.5</v>
      </c>
      <c r="Q30" s="7">
        <f t="shared" ca="1" si="3"/>
        <v>0.5</v>
      </c>
      <c r="R30" s="7">
        <f t="shared" ca="1" si="1"/>
        <v>0.33333333333333331</v>
      </c>
      <c r="S30" s="7">
        <f t="shared" ca="1" si="2"/>
        <v>0.66666666666666663</v>
      </c>
    </row>
    <row r="31" spans="1:19" x14ac:dyDescent="0.15">
      <c r="A31" s="60"/>
      <c r="B31" s="21" t="s">
        <v>22</v>
      </c>
      <c r="C31" s="21">
        <f>[60]PARS_utr_stat!B31</f>
        <v>19</v>
      </c>
      <c r="D31" s="21">
        <f>[60]PARS_utr_stat!C31</f>
        <v>9</v>
      </c>
      <c r="E31" s="22">
        <f t="shared" ref="E31:F31" si="25">C31/(C30+C31)</f>
        <v>0.6785714285714286</v>
      </c>
      <c r="F31" s="22">
        <f t="shared" si="25"/>
        <v>0.39130434782608697</v>
      </c>
      <c r="I31" s="60"/>
      <c r="J31" s="21" t="s">
        <v>22</v>
      </c>
      <c r="K31" s="22">
        <f t="shared" si="0"/>
        <v>0.6785714285714286</v>
      </c>
      <c r="L31" s="22">
        <f t="shared" si="0"/>
        <v>0.39130434782608697</v>
      </c>
      <c r="O31" s="21">
        <v>29</v>
      </c>
      <c r="P31" s="7">
        <f t="shared" ca="1" si="5"/>
        <v>0.6</v>
      </c>
      <c r="Q31" s="7">
        <f t="shared" ca="1" si="3"/>
        <v>0.4</v>
      </c>
      <c r="R31" s="7">
        <f t="shared" ca="1" si="1"/>
        <v>0.6</v>
      </c>
      <c r="S31" s="7">
        <f t="shared" ca="1" si="2"/>
        <v>0.4</v>
      </c>
    </row>
    <row r="32" spans="1:19" x14ac:dyDescent="0.15">
      <c r="A32" s="60">
        <v>16</v>
      </c>
      <c r="B32" s="21" t="s">
        <v>21</v>
      </c>
      <c r="C32" s="21">
        <f>[60]PARS_utr_stat!B32</f>
        <v>7</v>
      </c>
      <c r="D32" s="21">
        <f>[60]PARS_utr_stat!C32</f>
        <v>13</v>
      </c>
      <c r="E32" s="22">
        <f t="shared" ref="E32:F32" si="26">C32/(C32+C33)</f>
        <v>0.5</v>
      </c>
      <c r="F32" s="22">
        <f t="shared" si="26"/>
        <v>0.72222222222222221</v>
      </c>
      <c r="I32" s="60">
        <v>16</v>
      </c>
      <c r="J32" s="21" t="s">
        <v>21</v>
      </c>
      <c r="K32" s="22">
        <f t="shared" si="0"/>
        <v>0.5</v>
      </c>
      <c r="L32" s="22">
        <f t="shared" si="0"/>
        <v>0.72222222222222221</v>
      </c>
      <c r="O32" s="21">
        <v>30</v>
      </c>
      <c r="P32" s="7">
        <f t="shared" ca="1" si="5"/>
        <v>0.53333333333333333</v>
      </c>
      <c r="Q32" s="7">
        <f t="shared" ca="1" si="3"/>
        <v>0.46666666666666667</v>
      </c>
      <c r="R32" s="7">
        <f t="shared" ca="1" si="1"/>
        <v>0.5</v>
      </c>
      <c r="S32" s="7">
        <f t="shared" ca="1" si="2"/>
        <v>0.5</v>
      </c>
    </row>
    <row r="33" spans="1:19" x14ac:dyDescent="0.15">
      <c r="A33" s="60"/>
      <c r="B33" s="21" t="s">
        <v>22</v>
      </c>
      <c r="C33" s="21">
        <f>[60]PARS_utr_stat!B33</f>
        <v>7</v>
      </c>
      <c r="D33" s="21">
        <f>[60]PARS_utr_stat!C33</f>
        <v>5</v>
      </c>
      <c r="E33" s="22">
        <f t="shared" ref="E33:F33" si="27">C33/(C32+C33)</f>
        <v>0.5</v>
      </c>
      <c r="F33" s="22">
        <f t="shared" si="27"/>
        <v>0.27777777777777779</v>
      </c>
      <c r="I33" s="60"/>
      <c r="J33" s="21" t="s">
        <v>22</v>
      </c>
      <c r="K33" s="22">
        <f t="shared" si="0"/>
        <v>0.5</v>
      </c>
      <c r="L33" s="22">
        <f t="shared" si="0"/>
        <v>0.27777777777777779</v>
      </c>
      <c r="O33" s="21">
        <v>31</v>
      </c>
      <c r="P33" s="7">
        <f t="shared" ca="1" si="5"/>
        <v>0.5</v>
      </c>
      <c r="Q33" s="7">
        <f t="shared" ca="1" si="3"/>
        <v>0.5</v>
      </c>
      <c r="R33" s="7">
        <f t="shared" ca="1" si="1"/>
        <v>0.9</v>
      </c>
      <c r="S33" s="7">
        <f t="shared" ca="1" si="2"/>
        <v>0.1</v>
      </c>
    </row>
    <row r="34" spans="1:19" x14ac:dyDescent="0.15">
      <c r="A34" s="60">
        <v>17</v>
      </c>
      <c r="B34" s="21" t="s">
        <v>21</v>
      </c>
      <c r="C34" s="21">
        <f>[60]PARS_utr_stat!B34</f>
        <v>13</v>
      </c>
      <c r="D34" s="21">
        <f>[60]PARS_utr_stat!C34</f>
        <v>11</v>
      </c>
      <c r="E34" s="22">
        <f t="shared" ref="E34:F34" si="28">C34/(C34+C35)</f>
        <v>0.65</v>
      </c>
      <c r="F34" s="22">
        <f t="shared" si="28"/>
        <v>0.91666666666666663</v>
      </c>
      <c r="I34" s="60">
        <v>17</v>
      </c>
      <c r="J34" s="21" t="s">
        <v>21</v>
      </c>
      <c r="K34" s="22">
        <f t="shared" si="0"/>
        <v>0.65</v>
      </c>
      <c r="L34" s="22">
        <f t="shared" si="0"/>
        <v>0.91666666666666663</v>
      </c>
      <c r="O34" s="21">
        <v>32</v>
      </c>
      <c r="P34" s="7">
        <f t="shared" ca="1" si="5"/>
        <v>0.2</v>
      </c>
      <c r="Q34" s="7">
        <f t="shared" ca="1" si="3"/>
        <v>0.8</v>
      </c>
      <c r="R34" s="7">
        <f t="shared" ca="1" si="1"/>
        <v>0.33333333333333331</v>
      </c>
      <c r="S34" s="7">
        <f t="shared" ca="1" si="2"/>
        <v>0.66666666666666663</v>
      </c>
    </row>
    <row r="35" spans="1:19" x14ac:dyDescent="0.15">
      <c r="A35" s="60"/>
      <c r="B35" s="21" t="s">
        <v>22</v>
      </c>
      <c r="C35" s="21">
        <f>[60]PARS_utr_stat!B35</f>
        <v>7</v>
      </c>
      <c r="D35" s="21">
        <f>[60]PARS_utr_stat!C35</f>
        <v>1</v>
      </c>
      <c r="E35" s="22">
        <f t="shared" ref="E35:F35" si="29">C35/(C34+C35)</f>
        <v>0.35</v>
      </c>
      <c r="F35" s="22">
        <f t="shared" si="29"/>
        <v>8.3333333333333329E-2</v>
      </c>
      <c r="I35" s="60"/>
      <c r="J35" s="21" t="s">
        <v>22</v>
      </c>
      <c r="K35" s="22">
        <f t="shared" si="0"/>
        <v>0.35</v>
      </c>
      <c r="L35" s="22">
        <f t="shared" si="0"/>
        <v>8.3333333333333329E-2</v>
      </c>
      <c r="O35" s="21">
        <v>33</v>
      </c>
      <c r="P35" s="7">
        <f t="shared" ca="1" si="5"/>
        <v>0.45454545454545453</v>
      </c>
      <c r="Q35" s="7">
        <f t="shared" ca="1" si="3"/>
        <v>0.54545454545454541</v>
      </c>
      <c r="R35" s="7">
        <f t="shared" ca="1" si="1"/>
        <v>0.55555555555555558</v>
      </c>
      <c r="S35" s="7">
        <f t="shared" ca="1" si="2"/>
        <v>0.44444444444444442</v>
      </c>
    </row>
    <row r="36" spans="1:19" x14ac:dyDescent="0.15">
      <c r="A36" s="60">
        <v>18</v>
      </c>
      <c r="B36" s="21" t="s">
        <v>21</v>
      </c>
      <c r="C36" s="21">
        <f>[60]PARS_utr_stat!B36</f>
        <v>3</v>
      </c>
      <c r="D36" s="21">
        <f>[60]PARS_utr_stat!C36</f>
        <v>13</v>
      </c>
      <c r="E36" s="22">
        <f t="shared" ref="E36:F36" si="30">C36/(C36+C37)</f>
        <v>0.27272727272727271</v>
      </c>
      <c r="F36" s="22">
        <f t="shared" si="30"/>
        <v>0.76470588235294112</v>
      </c>
      <c r="I36" s="60">
        <v>18</v>
      </c>
      <c r="J36" s="21" t="s">
        <v>21</v>
      </c>
      <c r="K36" s="22">
        <f t="shared" si="0"/>
        <v>0.27272727272727271</v>
      </c>
      <c r="L36" s="22">
        <f t="shared" si="0"/>
        <v>0.76470588235294112</v>
      </c>
      <c r="O36" s="21">
        <v>34</v>
      </c>
      <c r="P36" s="7">
        <f t="shared" ca="1" si="5"/>
        <v>0.5</v>
      </c>
      <c r="Q36" s="7">
        <f t="shared" ca="1" si="3"/>
        <v>0.5</v>
      </c>
      <c r="R36" s="7">
        <f t="shared" ca="1" si="1"/>
        <v>0.5</v>
      </c>
      <c r="S36" s="7">
        <f t="shared" ca="1" si="2"/>
        <v>0.5</v>
      </c>
    </row>
    <row r="37" spans="1:19" x14ac:dyDescent="0.15">
      <c r="A37" s="60"/>
      <c r="B37" s="21" t="s">
        <v>22</v>
      </c>
      <c r="C37" s="21">
        <f>[60]PARS_utr_stat!B37</f>
        <v>8</v>
      </c>
      <c r="D37" s="21">
        <f>[60]PARS_utr_stat!C37</f>
        <v>4</v>
      </c>
      <c r="E37" s="22">
        <f t="shared" ref="E37:F37" si="31">C37/(C36+C37)</f>
        <v>0.72727272727272729</v>
      </c>
      <c r="F37" s="22">
        <f t="shared" si="31"/>
        <v>0.23529411764705882</v>
      </c>
      <c r="I37" s="60"/>
      <c r="J37" s="21" t="s">
        <v>22</v>
      </c>
      <c r="K37" s="22">
        <f t="shared" si="0"/>
        <v>0.72727272727272729</v>
      </c>
      <c r="L37" s="22">
        <f t="shared" si="0"/>
        <v>0.23529411764705882</v>
      </c>
      <c r="O37" s="21">
        <v>35</v>
      </c>
      <c r="P37" s="7">
        <f t="shared" ca="1" si="5"/>
        <v>0.57894736842105265</v>
      </c>
      <c r="Q37" s="7">
        <f t="shared" ca="1" si="3"/>
        <v>0.42105263157894735</v>
      </c>
      <c r="R37" s="7">
        <f t="shared" ca="1" si="1"/>
        <v>0.7142857142857143</v>
      </c>
      <c r="S37" s="7">
        <f t="shared" ca="1" si="2"/>
        <v>0.2857142857142857</v>
      </c>
    </row>
    <row r="38" spans="1:19" x14ac:dyDescent="0.15">
      <c r="A38" s="60">
        <v>19</v>
      </c>
      <c r="B38" s="21" t="s">
        <v>21</v>
      </c>
      <c r="C38" s="21">
        <f>[60]PARS_utr_stat!B38</f>
        <v>13</v>
      </c>
      <c r="D38" s="21">
        <f>[60]PARS_utr_stat!C38</f>
        <v>6</v>
      </c>
      <c r="E38" s="22">
        <f t="shared" ref="E38:F38" si="32">C38/(C38+C39)</f>
        <v>0.56521739130434778</v>
      </c>
      <c r="F38" s="22">
        <f t="shared" si="32"/>
        <v>0.66666666666666663</v>
      </c>
      <c r="I38" s="60">
        <v>19</v>
      </c>
      <c r="J38" s="21" t="s">
        <v>21</v>
      </c>
      <c r="K38" s="22">
        <f t="shared" si="0"/>
        <v>0.56521739130434778</v>
      </c>
      <c r="L38" s="22">
        <f t="shared" si="0"/>
        <v>0.66666666666666663</v>
      </c>
      <c r="O38" s="21">
        <v>36</v>
      </c>
      <c r="P38" s="7">
        <f t="shared" ca="1" si="5"/>
        <v>0.625</v>
      </c>
      <c r="Q38" s="7">
        <f t="shared" ca="1" si="3"/>
        <v>0.375</v>
      </c>
      <c r="R38" s="7">
        <f t="shared" ca="1" si="1"/>
        <v>0.77777777777777779</v>
      </c>
      <c r="S38" s="7">
        <f t="shared" ca="1" si="2"/>
        <v>0.22222222222222221</v>
      </c>
    </row>
    <row r="39" spans="1:19" x14ac:dyDescent="0.15">
      <c r="A39" s="60"/>
      <c r="B39" s="21" t="s">
        <v>22</v>
      </c>
      <c r="C39" s="21">
        <f>[60]PARS_utr_stat!B39</f>
        <v>10</v>
      </c>
      <c r="D39" s="21">
        <f>[60]PARS_utr_stat!C39</f>
        <v>3</v>
      </c>
      <c r="E39" s="22">
        <f t="shared" ref="E39:F39" si="33">C39/(C38+C39)</f>
        <v>0.43478260869565216</v>
      </c>
      <c r="F39" s="22">
        <f t="shared" si="33"/>
        <v>0.33333333333333331</v>
      </c>
      <c r="I39" s="60"/>
      <c r="J39" s="21" t="s">
        <v>22</v>
      </c>
      <c r="K39" s="22">
        <f t="shared" si="0"/>
        <v>0.43478260869565216</v>
      </c>
      <c r="L39" s="22">
        <f t="shared" si="0"/>
        <v>0.33333333333333331</v>
      </c>
      <c r="O39" s="21">
        <v>37</v>
      </c>
      <c r="P39" s="7">
        <f t="shared" ca="1" si="5"/>
        <v>0.2857142857142857</v>
      </c>
      <c r="Q39" s="7">
        <f t="shared" ca="1" si="3"/>
        <v>0.7142857142857143</v>
      </c>
      <c r="R39" s="7">
        <f t="shared" ca="1" si="1"/>
        <v>0.6</v>
      </c>
      <c r="S39" s="7">
        <f t="shared" ca="1" si="2"/>
        <v>0.4</v>
      </c>
    </row>
    <row r="40" spans="1:19" x14ac:dyDescent="0.15">
      <c r="A40" s="60">
        <v>20</v>
      </c>
      <c r="B40" s="21" t="s">
        <v>21</v>
      </c>
      <c r="C40" s="21">
        <f>[60]PARS_utr_stat!B40</f>
        <v>12</v>
      </c>
      <c r="D40" s="21">
        <f>[60]PARS_utr_stat!C40</f>
        <v>8</v>
      </c>
      <c r="E40" s="22">
        <f t="shared" ref="E40:F40" si="34">C40/(C40+C41)</f>
        <v>0.54545454545454541</v>
      </c>
      <c r="F40" s="22">
        <f t="shared" si="34"/>
        <v>0.5</v>
      </c>
      <c r="I40" s="60">
        <v>20</v>
      </c>
      <c r="J40" s="21" t="s">
        <v>21</v>
      </c>
      <c r="K40" s="22">
        <f t="shared" si="0"/>
        <v>0.54545454545454541</v>
      </c>
      <c r="L40" s="22">
        <f t="shared" si="0"/>
        <v>0.5</v>
      </c>
      <c r="O40" s="21">
        <v>38</v>
      </c>
      <c r="P40" s="7">
        <f t="shared" ca="1" si="5"/>
        <v>0.55555555555555558</v>
      </c>
      <c r="Q40" s="7">
        <f t="shared" ca="1" si="3"/>
        <v>0.44444444444444442</v>
      </c>
      <c r="R40" s="7">
        <f t="shared" ca="1" si="1"/>
        <v>0.54545454545454541</v>
      </c>
      <c r="S40" s="7">
        <f t="shared" ca="1" si="2"/>
        <v>0.45454545454545453</v>
      </c>
    </row>
    <row r="41" spans="1:19" x14ac:dyDescent="0.15">
      <c r="A41" s="60"/>
      <c r="B41" s="21" t="s">
        <v>22</v>
      </c>
      <c r="C41" s="21">
        <f>[60]PARS_utr_stat!B41</f>
        <v>10</v>
      </c>
      <c r="D41" s="21">
        <f>[60]PARS_utr_stat!C41</f>
        <v>8</v>
      </c>
      <c r="E41" s="22">
        <f t="shared" ref="E41:F41" si="35">C41/(C40+C41)</f>
        <v>0.45454545454545453</v>
      </c>
      <c r="F41" s="22">
        <f t="shared" si="35"/>
        <v>0.5</v>
      </c>
      <c r="I41" s="60"/>
      <c r="J41" s="21" t="s">
        <v>22</v>
      </c>
      <c r="K41" s="22">
        <f t="shared" si="0"/>
        <v>0.45454545454545453</v>
      </c>
      <c r="L41" s="22">
        <f t="shared" si="0"/>
        <v>0.5</v>
      </c>
      <c r="O41" s="21">
        <v>39</v>
      </c>
      <c r="P41" s="7">
        <f t="shared" ca="1" si="5"/>
        <v>0.46153846153846156</v>
      </c>
      <c r="Q41" s="7">
        <f t="shared" ca="1" si="3"/>
        <v>0.53846153846153844</v>
      </c>
      <c r="R41" s="7">
        <f t="shared" ca="1" si="1"/>
        <v>0.8</v>
      </c>
      <c r="S41" s="7">
        <f t="shared" ca="1" si="2"/>
        <v>0.2</v>
      </c>
    </row>
    <row r="42" spans="1:19" x14ac:dyDescent="0.15">
      <c r="A42" s="60">
        <v>21</v>
      </c>
      <c r="B42" s="21" t="s">
        <v>21</v>
      </c>
      <c r="C42" s="21">
        <f>[60]PARS_utr_stat!B42</f>
        <v>10</v>
      </c>
      <c r="D42" s="21">
        <f>[60]PARS_utr_stat!C42</f>
        <v>8</v>
      </c>
      <c r="E42" s="22">
        <f t="shared" ref="E42:F42" si="36">C42/(C42+C43)</f>
        <v>0.58823529411764708</v>
      </c>
      <c r="F42" s="22">
        <f t="shared" si="36"/>
        <v>0.66666666666666663</v>
      </c>
      <c r="I42" s="60">
        <v>21</v>
      </c>
      <c r="J42" s="21" t="s">
        <v>21</v>
      </c>
      <c r="K42" s="22">
        <f t="shared" si="0"/>
        <v>0.58823529411764708</v>
      </c>
      <c r="L42" s="22">
        <f t="shared" si="0"/>
        <v>0.66666666666666663</v>
      </c>
      <c r="O42" s="21">
        <v>40</v>
      </c>
      <c r="P42" s="7">
        <f t="shared" ca="1" si="5"/>
        <v>0.5</v>
      </c>
      <c r="Q42" s="7">
        <f t="shared" ca="1" si="3"/>
        <v>0.5</v>
      </c>
      <c r="R42" s="7">
        <f t="shared" ca="1" si="1"/>
        <v>0.76923076923076927</v>
      </c>
      <c r="S42" s="7">
        <f t="shared" ca="1" si="2"/>
        <v>0.23076923076923078</v>
      </c>
    </row>
    <row r="43" spans="1:19" x14ac:dyDescent="0.15">
      <c r="A43" s="60"/>
      <c r="B43" s="21" t="s">
        <v>22</v>
      </c>
      <c r="C43" s="21">
        <f>[60]PARS_utr_stat!B43</f>
        <v>7</v>
      </c>
      <c r="D43" s="21">
        <f>[60]PARS_utr_stat!C43</f>
        <v>4</v>
      </c>
      <c r="E43" s="22">
        <f t="shared" ref="E43:F43" si="37">C43/(C42+C43)</f>
        <v>0.41176470588235292</v>
      </c>
      <c r="F43" s="22">
        <f t="shared" si="37"/>
        <v>0.33333333333333331</v>
      </c>
      <c r="I43" s="60"/>
      <c r="J43" s="21" t="s">
        <v>22</v>
      </c>
      <c r="K43" s="22">
        <f t="shared" si="0"/>
        <v>0.41176470588235292</v>
      </c>
      <c r="L43" s="22">
        <f t="shared" si="0"/>
        <v>0.33333333333333331</v>
      </c>
      <c r="O43" s="21">
        <v>41</v>
      </c>
      <c r="P43" s="7">
        <f t="shared" ca="1" si="5"/>
        <v>0.5714285714285714</v>
      </c>
      <c r="Q43" s="7">
        <f t="shared" ca="1" si="3"/>
        <v>0.42857142857142855</v>
      </c>
      <c r="R43" s="7">
        <f t="shared" ca="1" si="1"/>
        <v>0.5</v>
      </c>
      <c r="S43" s="7">
        <f t="shared" ca="1" si="2"/>
        <v>0.5</v>
      </c>
    </row>
    <row r="44" spans="1:19" x14ac:dyDescent="0.15">
      <c r="A44" s="60">
        <v>22</v>
      </c>
      <c r="B44" s="21" t="s">
        <v>21</v>
      </c>
      <c r="C44" s="21">
        <f>[60]PARS_utr_stat!B44</f>
        <v>6</v>
      </c>
      <c r="D44" s="21">
        <f>[60]PARS_utr_stat!C44</f>
        <v>3</v>
      </c>
      <c r="E44" s="22">
        <f t="shared" ref="E44:F44" si="38">C44/(C44+C45)</f>
        <v>0.42857142857142855</v>
      </c>
      <c r="F44" s="22">
        <f t="shared" si="38"/>
        <v>0.25</v>
      </c>
      <c r="I44" s="60">
        <v>22</v>
      </c>
      <c r="J44" s="21" t="s">
        <v>21</v>
      </c>
      <c r="K44" s="22">
        <f t="shared" si="0"/>
        <v>0.42857142857142855</v>
      </c>
      <c r="L44" s="22">
        <f t="shared" si="0"/>
        <v>0.25</v>
      </c>
      <c r="O44" s="21">
        <v>42</v>
      </c>
      <c r="P44" s="7">
        <f t="shared" ca="1" si="5"/>
        <v>0.625</v>
      </c>
      <c r="Q44" s="7">
        <f t="shared" ca="1" si="3"/>
        <v>0.375</v>
      </c>
      <c r="R44" s="7">
        <f t="shared" ca="1" si="1"/>
        <v>0.33333333333333331</v>
      </c>
      <c r="S44" s="7">
        <f t="shared" ca="1" si="2"/>
        <v>0.66666666666666663</v>
      </c>
    </row>
    <row r="45" spans="1:19" x14ac:dyDescent="0.15">
      <c r="A45" s="60"/>
      <c r="B45" s="21" t="s">
        <v>22</v>
      </c>
      <c r="C45" s="21">
        <f>[60]PARS_utr_stat!B45</f>
        <v>8</v>
      </c>
      <c r="D45" s="21">
        <f>[60]PARS_utr_stat!C45</f>
        <v>9</v>
      </c>
      <c r="E45" s="22">
        <f t="shared" ref="E45:F45" si="39">C45/(C44+C45)</f>
        <v>0.5714285714285714</v>
      </c>
      <c r="F45" s="22">
        <f t="shared" si="39"/>
        <v>0.75</v>
      </c>
      <c r="I45" s="60"/>
      <c r="J45" s="21" t="s">
        <v>22</v>
      </c>
      <c r="K45" s="22">
        <f t="shared" si="0"/>
        <v>0.5714285714285714</v>
      </c>
      <c r="L45" s="22">
        <f t="shared" si="0"/>
        <v>0.75</v>
      </c>
      <c r="O45" s="21">
        <v>43</v>
      </c>
      <c r="P45" s="7">
        <f t="shared" ca="1" si="5"/>
        <v>0.53846153846153844</v>
      </c>
      <c r="Q45" s="7">
        <f t="shared" ca="1" si="3"/>
        <v>0.46153846153846156</v>
      </c>
      <c r="R45" s="7">
        <f t="shared" ca="1" si="1"/>
        <v>0.33333333333333331</v>
      </c>
      <c r="S45" s="7">
        <f t="shared" ca="1" si="2"/>
        <v>0.66666666666666663</v>
      </c>
    </row>
    <row r="46" spans="1:19" x14ac:dyDescent="0.15">
      <c r="A46" s="60">
        <v>23</v>
      </c>
      <c r="B46" s="21" t="s">
        <v>21</v>
      </c>
      <c r="C46" s="21">
        <f>[60]PARS_utr_stat!B46</f>
        <v>10</v>
      </c>
      <c r="D46" s="21">
        <f>[60]PARS_utr_stat!C46</f>
        <v>10</v>
      </c>
      <c r="E46" s="22">
        <f t="shared" ref="E46:F46" si="40">C46/(C46+C47)</f>
        <v>0.55555555555555558</v>
      </c>
      <c r="F46" s="22">
        <f t="shared" si="40"/>
        <v>0.55555555555555558</v>
      </c>
      <c r="I46" s="60">
        <v>23</v>
      </c>
      <c r="J46" s="21" t="s">
        <v>21</v>
      </c>
      <c r="K46" s="22">
        <f t="shared" si="0"/>
        <v>0.55555555555555558</v>
      </c>
      <c r="L46" s="22">
        <f t="shared" si="0"/>
        <v>0.55555555555555558</v>
      </c>
      <c r="O46" s="21">
        <v>44</v>
      </c>
      <c r="P46" s="7">
        <f t="shared" ca="1" si="5"/>
        <v>0.42857142857142855</v>
      </c>
      <c r="Q46" s="7">
        <f t="shared" ca="1" si="3"/>
        <v>0.5714285714285714</v>
      </c>
      <c r="R46" s="7">
        <f t="shared" ca="1" si="1"/>
        <v>0.7142857142857143</v>
      </c>
      <c r="S46" s="7">
        <f t="shared" ca="1" si="2"/>
        <v>0.2857142857142857</v>
      </c>
    </row>
    <row r="47" spans="1:19" x14ac:dyDescent="0.15">
      <c r="A47" s="60"/>
      <c r="B47" s="21" t="s">
        <v>22</v>
      </c>
      <c r="C47" s="21">
        <f>[60]PARS_utr_stat!B47</f>
        <v>8</v>
      </c>
      <c r="D47" s="21">
        <f>[60]PARS_utr_stat!C47</f>
        <v>8</v>
      </c>
      <c r="E47" s="22">
        <f t="shared" ref="E47:F47" si="41">C47/(C46+C47)</f>
        <v>0.44444444444444442</v>
      </c>
      <c r="F47" s="22">
        <f t="shared" si="41"/>
        <v>0.44444444444444442</v>
      </c>
      <c r="I47" s="60"/>
      <c r="J47" s="21" t="s">
        <v>22</v>
      </c>
      <c r="K47" s="22">
        <f t="shared" si="0"/>
        <v>0.44444444444444442</v>
      </c>
      <c r="L47" s="22">
        <f t="shared" si="0"/>
        <v>0.44444444444444442</v>
      </c>
      <c r="O47" s="21">
        <v>45</v>
      </c>
      <c r="P47" s="7">
        <f t="shared" ca="1" si="5"/>
        <v>0.36363636363636365</v>
      </c>
      <c r="Q47" s="7">
        <f t="shared" ca="1" si="3"/>
        <v>0.63636363636363635</v>
      </c>
      <c r="R47" s="7">
        <f t="shared" ca="1" si="1"/>
        <v>0.7142857142857143</v>
      </c>
      <c r="S47" s="7">
        <f t="shared" ca="1" si="2"/>
        <v>0.2857142857142857</v>
      </c>
    </row>
    <row r="48" spans="1:19" x14ac:dyDescent="0.15">
      <c r="A48" s="60">
        <v>24</v>
      </c>
      <c r="B48" s="21" t="s">
        <v>21</v>
      </c>
      <c r="C48" s="21">
        <f>[60]PARS_utr_stat!B48</f>
        <v>7</v>
      </c>
      <c r="D48" s="21">
        <f>[60]PARS_utr_stat!C48</f>
        <v>4</v>
      </c>
      <c r="E48" s="22">
        <f t="shared" ref="E48:F48" si="42">C48/(C48+C49)</f>
        <v>0.5</v>
      </c>
      <c r="F48" s="22">
        <f t="shared" si="42"/>
        <v>0.5714285714285714</v>
      </c>
      <c r="I48" s="60">
        <v>24</v>
      </c>
      <c r="J48" s="21" t="s">
        <v>21</v>
      </c>
      <c r="K48" s="22">
        <f t="shared" si="0"/>
        <v>0.5</v>
      </c>
      <c r="L48" s="22">
        <f t="shared" si="0"/>
        <v>0.5714285714285714</v>
      </c>
      <c r="O48" s="21">
        <v>46</v>
      </c>
      <c r="P48" s="7">
        <f t="shared" ca="1" si="5"/>
        <v>0.6</v>
      </c>
      <c r="Q48" s="7">
        <f t="shared" ca="1" si="3"/>
        <v>0.4</v>
      </c>
      <c r="R48" s="7">
        <f t="shared" ca="1" si="1"/>
        <v>0.33333333333333331</v>
      </c>
      <c r="S48" s="7">
        <f t="shared" ca="1" si="2"/>
        <v>0.66666666666666663</v>
      </c>
    </row>
    <row r="49" spans="1:19" x14ac:dyDescent="0.15">
      <c r="A49" s="60"/>
      <c r="B49" s="21" t="s">
        <v>22</v>
      </c>
      <c r="C49" s="21">
        <f>[60]PARS_utr_stat!B49</f>
        <v>7</v>
      </c>
      <c r="D49" s="21">
        <f>[60]PARS_utr_stat!C49</f>
        <v>3</v>
      </c>
      <c r="E49" s="22">
        <f t="shared" ref="E49:F49" si="43">C49/(C48+C49)</f>
        <v>0.5</v>
      </c>
      <c r="F49" s="22">
        <f t="shared" si="43"/>
        <v>0.42857142857142855</v>
      </c>
      <c r="I49" s="60"/>
      <c r="J49" s="21" t="s">
        <v>22</v>
      </c>
      <c r="K49" s="22">
        <f t="shared" si="0"/>
        <v>0.5</v>
      </c>
      <c r="L49" s="22">
        <f t="shared" si="0"/>
        <v>0.42857142857142855</v>
      </c>
      <c r="O49" s="21">
        <v>47</v>
      </c>
      <c r="P49" s="7">
        <f t="shared" ca="1" si="5"/>
        <v>0.66666666666666663</v>
      </c>
      <c r="Q49" s="7">
        <f t="shared" ca="1" si="3"/>
        <v>0.33333333333333331</v>
      </c>
      <c r="R49" s="7">
        <f t="shared" ca="1" si="1"/>
        <v>0.4</v>
      </c>
      <c r="S49" s="7">
        <f t="shared" ca="1" si="2"/>
        <v>0.6</v>
      </c>
    </row>
    <row r="50" spans="1:19" x14ac:dyDescent="0.15">
      <c r="A50" s="60">
        <v>25</v>
      </c>
      <c r="B50" s="21" t="s">
        <v>21</v>
      </c>
      <c r="C50" s="21">
        <f>[60]PARS_utr_stat!B50</f>
        <v>9</v>
      </c>
      <c r="D50" s="21">
        <f>[60]PARS_utr_stat!C50</f>
        <v>6</v>
      </c>
      <c r="E50" s="22">
        <f t="shared" ref="E50:F50" si="44">C50/(C50+C51)</f>
        <v>0.5625</v>
      </c>
      <c r="F50" s="22">
        <f t="shared" si="44"/>
        <v>0.66666666666666663</v>
      </c>
      <c r="I50" s="60">
        <v>25</v>
      </c>
      <c r="J50" s="21" t="s">
        <v>21</v>
      </c>
      <c r="K50" s="22">
        <f t="shared" si="0"/>
        <v>0.5625</v>
      </c>
      <c r="L50" s="22">
        <f t="shared" si="0"/>
        <v>0.66666666666666663</v>
      </c>
      <c r="O50" s="21">
        <v>48</v>
      </c>
      <c r="P50" s="7">
        <f t="shared" ca="1" si="5"/>
        <v>0.88888888888888884</v>
      </c>
      <c r="Q50" s="7">
        <f t="shared" ca="1" si="3"/>
        <v>0.1111111111111111</v>
      </c>
      <c r="R50" s="7">
        <f t="shared" ca="1" si="1"/>
        <v>0.6</v>
      </c>
      <c r="S50" s="7">
        <f t="shared" ca="1" si="2"/>
        <v>0.4</v>
      </c>
    </row>
    <row r="51" spans="1:19" x14ac:dyDescent="0.15">
      <c r="A51" s="60"/>
      <c r="B51" s="21" t="s">
        <v>22</v>
      </c>
      <c r="C51" s="21">
        <f>[60]PARS_utr_stat!B51</f>
        <v>7</v>
      </c>
      <c r="D51" s="21">
        <f>[60]PARS_utr_stat!C51</f>
        <v>3</v>
      </c>
      <c r="E51" s="22">
        <f t="shared" ref="E51:F51" si="45">C51/(C50+C51)</f>
        <v>0.4375</v>
      </c>
      <c r="F51" s="22">
        <f t="shared" si="45"/>
        <v>0.33333333333333331</v>
      </c>
      <c r="I51" s="60"/>
      <c r="J51" s="21" t="s">
        <v>22</v>
      </c>
      <c r="K51" s="22">
        <f t="shared" si="0"/>
        <v>0.4375</v>
      </c>
      <c r="L51" s="22">
        <f t="shared" si="0"/>
        <v>0.33333333333333331</v>
      </c>
      <c r="O51" s="21">
        <v>49</v>
      </c>
      <c r="P51" s="7">
        <f t="shared" ca="1" si="5"/>
        <v>0.625</v>
      </c>
      <c r="Q51" s="7">
        <f t="shared" ca="1" si="3"/>
        <v>0.375</v>
      </c>
      <c r="R51" s="7">
        <f t="shared" ca="1" si="1"/>
        <v>0.75</v>
      </c>
      <c r="S51" s="7">
        <f t="shared" ca="1" si="2"/>
        <v>0.25</v>
      </c>
    </row>
    <row r="52" spans="1:19" x14ac:dyDescent="0.15">
      <c r="A52" s="60">
        <v>26</v>
      </c>
      <c r="B52" s="21" t="s">
        <v>21</v>
      </c>
      <c r="C52" s="21">
        <f>[60]PARS_utr_stat!B52</f>
        <v>5</v>
      </c>
      <c r="D52" s="21">
        <f>[60]PARS_utr_stat!C52</f>
        <v>8</v>
      </c>
      <c r="E52" s="22">
        <f t="shared" ref="E52:F52" si="46">C52/(C52+C53)</f>
        <v>0.38461538461538464</v>
      </c>
      <c r="F52" s="22">
        <f t="shared" si="46"/>
        <v>0.61538461538461542</v>
      </c>
      <c r="I52" s="60">
        <v>26</v>
      </c>
      <c r="J52" s="21" t="s">
        <v>21</v>
      </c>
      <c r="K52" s="22">
        <f t="shared" si="0"/>
        <v>0.38461538461538464</v>
      </c>
      <c r="L52" s="22">
        <f t="shared" si="0"/>
        <v>0.61538461538461542</v>
      </c>
      <c r="O52" s="21">
        <v>50</v>
      </c>
      <c r="P52" s="7">
        <f t="shared" ca="1" si="5"/>
        <v>0.4</v>
      </c>
      <c r="Q52" s="7">
        <f t="shared" ca="1" si="3"/>
        <v>0.6</v>
      </c>
      <c r="R52" s="7">
        <f t="shared" ca="1" si="1"/>
        <v>0.54545454545454541</v>
      </c>
      <c r="S52" s="7">
        <f t="shared" ca="1" si="2"/>
        <v>0.45454545454545453</v>
      </c>
    </row>
    <row r="53" spans="1:19" x14ac:dyDescent="0.15">
      <c r="A53" s="60"/>
      <c r="B53" s="21" t="s">
        <v>22</v>
      </c>
      <c r="C53" s="21">
        <f>[60]PARS_utr_stat!B53</f>
        <v>8</v>
      </c>
      <c r="D53" s="21">
        <f>[60]PARS_utr_stat!C53</f>
        <v>5</v>
      </c>
      <c r="E53" s="22">
        <f t="shared" ref="E53:F53" si="47">C53/(C52+C53)</f>
        <v>0.61538461538461542</v>
      </c>
      <c r="F53" s="22">
        <f t="shared" si="47"/>
        <v>0.38461538461538464</v>
      </c>
      <c r="I53" s="60"/>
      <c r="J53" s="21" t="s">
        <v>22</v>
      </c>
      <c r="K53" s="22">
        <f t="shared" si="0"/>
        <v>0.61538461538461542</v>
      </c>
      <c r="L53" s="22">
        <f t="shared" si="0"/>
        <v>0.38461538461538464</v>
      </c>
      <c r="O53" s="21">
        <v>51</v>
      </c>
      <c r="P53" s="7">
        <f t="shared" ca="1" si="5"/>
        <v>0.875</v>
      </c>
      <c r="Q53" s="7">
        <f t="shared" ca="1" si="3"/>
        <v>0.125</v>
      </c>
      <c r="R53" s="7">
        <f t="shared" ca="1" si="1"/>
        <v>1</v>
      </c>
      <c r="S53" s="7">
        <f t="shared" ca="1" si="2"/>
        <v>0</v>
      </c>
    </row>
    <row r="54" spans="1:19" x14ac:dyDescent="0.15">
      <c r="A54" s="60">
        <v>27</v>
      </c>
      <c r="B54" s="21" t="s">
        <v>21</v>
      </c>
      <c r="C54" s="21">
        <f>[60]PARS_utr_stat!B54</f>
        <v>10</v>
      </c>
      <c r="D54" s="21">
        <f>[60]PARS_utr_stat!C54</f>
        <v>6</v>
      </c>
      <c r="E54" s="22">
        <f t="shared" ref="E54:F54" si="48">C54/(C54+C55)</f>
        <v>0.7142857142857143</v>
      </c>
      <c r="F54" s="22">
        <f t="shared" si="48"/>
        <v>0.66666666666666663</v>
      </c>
      <c r="I54" s="60">
        <v>27</v>
      </c>
      <c r="J54" s="21" t="s">
        <v>21</v>
      </c>
      <c r="K54" s="22">
        <f t="shared" si="0"/>
        <v>0.7142857142857143</v>
      </c>
      <c r="L54" s="22">
        <f t="shared" si="0"/>
        <v>0.66666666666666663</v>
      </c>
      <c r="O54" s="21">
        <v>52</v>
      </c>
      <c r="P54" s="7">
        <f t="shared" ca="1" si="5"/>
        <v>0.42857142857142855</v>
      </c>
      <c r="Q54" s="7">
        <f t="shared" ca="1" si="3"/>
        <v>0.5714285714285714</v>
      </c>
      <c r="R54" s="7">
        <f t="shared" ca="1" si="1"/>
        <v>0.66666666666666663</v>
      </c>
      <c r="S54" s="7">
        <f t="shared" ca="1" si="2"/>
        <v>0.33333333333333331</v>
      </c>
    </row>
    <row r="55" spans="1:19" x14ac:dyDescent="0.15">
      <c r="A55" s="60"/>
      <c r="B55" s="21" t="s">
        <v>22</v>
      </c>
      <c r="C55" s="21">
        <f>[60]PARS_utr_stat!B55</f>
        <v>4</v>
      </c>
      <c r="D55" s="21">
        <f>[60]PARS_utr_stat!C55</f>
        <v>3</v>
      </c>
      <c r="E55" s="22">
        <f t="shared" ref="E55:F55" si="49">C55/(C54+C55)</f>
        <v>0.2857142857142857</v>
      </c>
      <c r="F55" s="22">
        <f t="shared" si="49"/>
        <v>0.33333333333333331</v>
      </c>
      <c r="I55" s="60"/>
      <c r="J55" s="21" t="s">
        <v>22</v>
      </c>
      <c r="K55" s="22">
        <f t="shared" si="0"/>
        <v>0.2857142857142857</v>
      </c>
      <c r="L55" s="22">
        <f t="shared" si="0"/>
        <v>0.33333333333333331</v>
      </c>
      <c r="O55" s="21">
        <v>53</v>
      </c>
      <c r="P55" s="7">
        <f t="shared" ca="1" si="5"/>
        <v>0.5714285714285714</v>
      </c>
      <c r="Q55" s="7">
        <f t="shared" ca="1" si="3"/>
        <v>0.42857142857142855</v>
      </c>
      <c r="R55" s="7">
        <f t="shared" ca="1" si="1"/>
        <v>0.7142857142857143</v>
      </c>
      <c r="S55" s="7">
        <f t="shared" ca="1" si="2"/>
        <v>0.2857142857142857</v>
      </c>
    </row>
    <row r="56" spans="1:19" x14ac:dyDescent="0.15">
      <c r="A56" s="60">
        <v>28</v>
      </c>
      <c r="B56" s="21" t="s">
        <v>21</v>
      </c>
      <c r="C56" s="21">
        <f>[60]PARS_utr_stat!B56</f>
        <v>6</v>
      </c>
      <c r="D56" s="21">
        <f>[60]PARS_utr_stat!C56</f>
        <v>5</v>
      </c>
      <c r="E56" s="22">
        <f t="shared" ref="E56:F56" si="50">C56/(C56+C57)</f>
        <v>0.5</v>
      </c>
      <c r="F56" s="22">
        <f t="shared" si="50"/>
        <v>0.33333333333333331</v>
      </c>
      <c r="I56" s="60">
        <v>28</v>
      </c>
      <c r="J56" s="21" t="s">
        <v>21</v>
      </c>
      <c r="K56" s="22">
        <f t="shared" si="0"/>
        <v>0.5</v>
      </c>
      <c r="L56" s="22">
        <f t="shared" si="0"/>
        <v>0.33333333333333331</v>
      </c>
      <c r="O56" s="21">
        <v>54</v>
      </c>
      <c r="P56" s="7">
        <f t="shared" ca="1" si="5"/>
        <v>0.69230769230769229</v>
      </c>
      <c r="Q56" s="7">
        <f t="shared" ca="1" si="3"/>
        <v>0.30769230769230771</v>
      </c>
      <c r="R56" s="7">
        <f t="shared" ca="1" si="1"/>
        <v>1</v>
      </c>
      <c r="S56" s="7">
        <f t="shared" ca="1" si="2"/>
        <v>0</v>
      </c>
    </row>
    <row r="57" spans="1:19" x14ac:dyDescent="0.15">
      <c r="A57" s="60"/>
      <c r="B57" s="21" t="s">
        <v>22</v>
      </c>
      <c r="C57" s="21">
        <f>[60]PARS_utr_stat!B57</f>
        <v>6</v>
      </c>
      <c r="D57" s="21">
        <f>[60]PARS_utr_stat!C57</f>
        <v>10</v>
      </c>
      <c r="E57" s="22">
        <f t="shared" ref="E57:F57" si="51">C57/(C56+C57)</f>
        <v>0.5</v>
      </c>
      <c r="F57" s="22">
        <f t="shared" si="51"/>
        <v>0.66666666666666663</v>
      </c>
      <c r="I57" s="60"/>
      <c r="J57" s="21" t="s">
        <v>22</v>
      </c>
      <c r="K57" s="22">
        <f t="shared" si="0"/>
        <v>0.5</v>
      </c>
      <c r="L57" s="22">
        <f t="shared" si="0"/>
        <v>0.66666666666666663</v>
      </c>
      <c r="O57" s="21">
        <v>55</v>
      </c>
      <c r="P57" s="7">
        <f t="shared" ca="1" si="5"/>
        <v>0.45454545454545453</v>
      </c>
      <c r="Q57" s="7">
        <f t="shared" ca="1" si="3"/>
        <v>0.54545454545454541</v>
      </c>
      <c r="R57" s="7">
        <f t="shared" ca="1" si="1"/>
        <v>0.5</v>
      </c>
      <c r="S57" s="7">
        <f t="shared" ca="1" si="2"/>
        <v>0.5</v>
      </c>
    </row>
    <row r="58" spans="1:19" x14ac:dyDescent="0.15">
      <c r="A58" s="60">
        <v>29</v>
      </c>
      <c r="B58" s="21" t="s">
        <v>21</v>
      </c>
      <c r="C58" s="21">
        <f>[60]PARS_utr_stat!B58</f>
        <v>9</v>
      </c>
      <c r="D58" s="21">
        <f>[60]PARS_utr_stat!C58</f>
        <v>6</v>
      </c>
      <c r="E58" s="22">
        <f t="shared" ref="E58:F58" si="52">C58/(C58+C59)</f>
        <v>0.6</v>
      </c>
      <c r="F58" s="22">
        <f t="shared" si="52"/>
        <v>0.6</v>
      </c>
      <c r="I58" s="60">
        <v>29</v>
      </c>
      <c r="J58" s="21" t="s">
        <v>21</v>
      </c>
      <c r="K58" s="22">
        <f t="shared" si="0"/>
        <v>0.6</v>
      </c>
      <c r="L58" s="22">
        <f t="shared" si="0"/>
        <v>0.6</v>
      </c>
      <c r="O58" s="21">
        <v>56</v>
      </c>
      <c r="P58" s="7">
        <f t="shared" ca="1" si="5"/>
        <v>0.5</v>
      </c>
      <c r="Q58" s="7">
        <f t="shared" ca="1" si="3"/>
        <v>0.5</v>
      </c>
      <c r="R58" s="7">
        <f t="shared" ca="1" si="1"/>
        <v>0.33333333333333331</v>
      </c>
      <c r="S58" s="7">
        <f t="shared" ca="1" si="2"/>
        <v>0.66666666666666663</v>
      </c>
    </row>
    <row r="59" spans="1:19" x14ac:dyDescent="0.15">
      <c r="A59" s="60"/>
      <c r="B59" s="21" t="s">
        <v>22</v>
      </c>
      <c r="C59" s="21">
        <f>[60]PARS_utr_stat!B59</f>
        <v>6</v>
      </c>
      <c r="D59" s="21">
        <f>[60]PARS_utr_stat!C59</f>
        <v>4</v>
      </c>
      <c r="E59" s="22">
        <f t="shared" ref="E59:F59" si="53">C59/(C58+C59)</f>
        <v>0.4</v>
      </c>
      <c r="F59" s="22">
        <f t="shared" si="53"/>
        <v>0.4</v>
      </c>
      <c r="I59" s="60"/>
      <c r="J59" s="21" t="s">
        <v>22</v>
      </c>
      <c r="K59" s="22">
        <f t="shared" si="0"/>
        <v>0.4</v>
      </c>
      <c r="L59" s="22">
        <f t="shared" si="0"/>
        <v>0.4</v>
      </c>
      <c r="O59" s="21">
        <v>57</v>
      </c>
      <c r="P59" s="7">
        <f t="shared" ca="1" si="5"/>
        <v>0.375</v>
      </c>
      <c r="Q59" s="7">
        <f t="shared" ca="1" si="3"/>
        <v>0.625</v>
      </c>
      <c r="R59" s="7">
        <f t="shared" ca="1" si="1"/>
        <v>0.375</v>
      </c>
      <c r="S59" s="7">
        <f t="shared" ca="1" si="2"/>
        <v>0.625</v>
      </c>
    </row>
    <row r="60" spans="1:19" x14ac:dyDescent="0.15">
      <c r="A60" s="60">
        <v>30</v>
      </c>
      <c r="B60" s="21" t="s">
        <v>21</v>
      </c>
      <c r="C60" s="21">
        <f>[60]PARS_utr_stat!B60</f>
        <v>8</v>
      </c>
      <c r="D60" s="21">
        <f>[60]PARS_utr_stat!C60</f>
        <v>4</v>
      </c>
      <c r="E60" s="22">
        <f t="shared" ref="E60:F60" si="54">C60/(C60+C61)</f>
        <v>0.53333333333333333</v>
      </c>
      <c r="F60" s="22">
        <f t="shared" si="54"/>
        <v>0.5</v>
      </c>
      <c r="I60" s="60">
        <v>30</v>
      </c>
      <c r="J60" s="21" t="s">
        <v>21</v>
      </c>
      <c r="K60" s="22">
        <f t="shared" si="0"/>
        <v>0.53333333333333333</v>
      </c>
      <c r="L60" s="22">
        <f t="shared" si="0"/>
        <v>0.5</v>
      </c>
      <c r="O60" s="21">
        <v>58</v>
      </c>
      <c r="P60" s="7">
        <f t="shared" ca="1" si="5"/>
        <v>0.5</v>
      </c>
      <c r="Q60" s="7">
        <f t="shared" ca="1" si="3"/>
        <v>0.5</v>
      </c>
      <c r="R60" s="7">
        <f t="shared" ca="1" si="1"/>
        <v>0.8</v>
      </c>
      <c r="S60" s="7">
        <f t="shared" ca="1" si="2"/>
        <v>0.2</v>
      </c>
    </row>
    <row r="61" spans="1:19" x14ac:dyDescent="0.15">
      <c r="A61" s="60"/>
      <c r="B61" s="21" t="s">
        <v>22</v>
      </c>
      <c r="C61" s="21">
        <f>[60]PARS_utr_stat!B61</f>
        <v>7</v>
      </c>
      <c r="D61" s="21">
        <f>[60]PARS_utr_stat!C61</f>
        <v>4</v>
      </c>
      <c r="E61" s="22">
        <f t="shared" ref="E61:F61" si="55">C61/(C60+C61)</f>
        <v>0.46666666666666667</v>
      </c>
      <c r="F61" s="22">
        <f t="shared" si="55"/>
        <v>0.5</v>
      </c>
      <c r="I61" s="60"/>
      <c r="J61" s="21" t="s">
        <v>22</v>
      </c>
      <c r="K61" s="22">
        <f t="shared" si="0"/>
        <v>0.46666666666666667</v>
      </c>
      <c r="L61" s="22">
        <f t="shared" si="0"/>
        <v>0.5</v>
      </c>
      <c r="O61" s="21">
        <v>59</v>
      </c>
      <c r="P61" s="7">
        <f t="shared" ca="1" si="5"/>
        <v>0.83333333333333337</v>
      </c>
      <c r="Q61" s="7">
        <f t="shared" ca="1" si="3"/>
        <v>0.16666666666666666</v>
      </c>
      <c r="R61" s="7">
        <f t="shared" ca="1" si="1"/>
        <v>0.375</v>
      </c>
      <c r="S61" s="7">
        <f t="shared" ca="1" si="2"/>
        <v>0.625</v>
      </c>
    </row>
    <row r="62" spans="1:19" x14ac:dyDescent="0.15">
      <c r="A62" s="60">
        <v>31</v>
      </c>
      <c r="B62" s="21" t="s">
        <v>21</v>
      </c>
      <c r="C62" s="21">
        <f>[60]PARS_utr_stat!B62</f>
        <v>4</v>
      </c>
      <c r="D62" s="21">
        <f>[60]PARS_utr_stat!C62</f>
        <v>9</v>
      </c>
      <c r="E62" s="22">
        <f t="shared" ref="E62:F62" si="56">C62/(C62+C63)</f>
        <v>0.5</v>
      </c>
      <c r="F62" s="22">
        <f t="shared" si="56"/>
        <v>0.9</v>
      </c>
      <c r="I62" s="60">
        <v>31</v>
      </c>
      <c r="J62" s="21" t="s">
        <v>21</v>
      </c>
      <c r="K62" s="22">
        <f t="shared" si="0"/>
        <v>0.5</v>
      </c>
      <c r="L62" s="22">
        <f t="shared" si="0"/>
        <v>0.9</v>
      </c>
      <c r="O62" s="21">
        <v>60</v>
      </c>
      <c r="P62" s="7">
        <f t="shared" ca="1" si="5"/>
        <v>0.22222222222222221</v>
      </c>
      <c r="Q62" s="7">
        <f t="shared" ca="1" si="3"/>
        <v>0.77777777777777779</v>
      </c>
      <c r="R62" s="7">
        <f t="shared" ca="1" si="1"/>
        <v>0.25</v>
      </c>
      <c r="S62" s="7">
        <f t="shared" ca="1" si="2"/>
        <v>0.75</v>
      </c>
    </row>
    <row r="63" spans="1:19" x14ac:dyDescent="0.15">
      <c r="A63" s="60"/>
      <c r="B63" s="21" t="s">
        <v>22</v>
      </c>
      <c r="C63" s="21">
        <f>[60]PARS_utr_stat!B63</f>
        <v>4</v>
      </c>
      <c r="D63" s="21">
        <f>[60]PARS_utr_stat!C63</f>
        <v>1</v>
      </c>
      <c r="E63" s="22">
        <f t="shared" ref="E63:F63" si="57">C63/(C62+C63)</f>
        <v>0.5</v>
      </c>
      <c r="F63" s="22">
        <f t="shared" si="57"/>
        <v>0.1</v>
      </c>
      <c r="I63" s="60"/>
      <c r="J63" s="21" t="s">
        <v>22</v>
      </c>
      <c r="K63" s="22">
        <f t="shared" si="0"/>
        <v>0.5</v>
      </c>
      <c r="L63" s="22">
        <f t="shared" si="0"/>
        <v>0.1</v>
      </c>
      <c r="O63" s="21">
        <v>61</v>
      </c>
      <c r="P63" s="7">
        <f t="shared" ca="1" si="5"/>
        <v>0.55555555555555558</v>
      </c>
      <c r="Q63" s="7">
        <f t="shared" ca="1" si="3"/>
        <v>0.44444444444444442</v>
      </c>
      <c r="R63" s="7">
        <f t="shared" ca="1" si="1"/>
        <v>0.5</v>
      </c>
      <c r="S63" s="7">
        <f t="shared" ca="1" si="2"/>
        <v>0.5</v>
      </c>
    </row>
    <row r="64" spans="1:19" x14ac:dyDescent="0.15">
      <c r="A64" s="60">
        <v>32</v>
      </c>
      <c r="B64" s="21" t="s">
        <v>21</v>
      </c>
      <c r="C64" s="21">
        <f>[60]PARS_utr_stat!B64</f>
        <v>2</v>
      </c>
      <c r="D64" s="21">
        <f>[60]PARS_utr_stat!C64</f>
        <v>2</v>
      </c>
      <c r="E64" s="22">
        <f t="shared" ref="E64:F64" si="58">C64/(C64+C65)</f>
        <v>0.2</v>
      </c>
      <c r="F64" s="22">
        <f t="shared" si="58"/>
        <v>0.33333333333333331</v>
      </c>
      <c r="I64" s="60">
        <v>32</v>
      </c>
      <c r="J64" s="21" t="s">
        <v>21</v>
      </c>
      <c r="K64" s="22">
        <f t="shared" si="0"/>
        <v>0.2</v>
      </c>
      <c r="L64" s="22">
        <f t="shared" si="0"/>
        <v>0.33333333333333331</v>
      </c>
      <c r="O64" s="21">
        <v>62</v>
      </c>
      <c r="P64" s="7">
        <f t="shared" ca="1" si="5"/>
        <v>0.5</v>
      </c>
      <c r="Q64" s="7">
        <f t="shared" ca="1" si="3"/>
        <v>0.5</v>
      </c>
      <c r="R64" s="7">
        <f t="shared" ca="1" si="1"/>
        <v>0.83333333333333337</v>
      </c>
      <c r="S64" s="7">
        <f t="shared" ca="1" si="2"/>
        <v>0.16666666666666666</v>
      </c>
    </row>
    <row r="65" spans="1:19" x14ac:dyDescent="0.15">
      <c r="A65" s="60"/>
      <c r="B65" s="21" t="s">
        <v>22</v>
      </c>
      <c r="C65" s="21">
        <f>[60]PARS_utr_stat!B65</f>
        <v>8</v>
      </c>
      <c r="D65" s="21">
        <f>[60]PARS_utr_stat!C65</f>
        <v>4</v>
      </c>
      <c r="E65" s="22">
        <f t="shared" ref="E65:F65" si="59">C65/(C64+C65)</f>
        <v>0.8</v>
      </c>
      <c r="F65" s="22">
        <f t="shared" si="59"/>
        <v>0.66666666666666663</v>
      </c>
      <c r="I65" s="60"/>
      <c r="J65" s="21" t="s">
        <v>22</v>
      </c>
      <c r="K65" s="22">
        <f t="shared" si="0"/>
        <v>0.8</v>
      </c>
      <c r="L65" s="22">
        <f t="shared" si="0"/>
        <v>0.66666666666666663</v>
      </c>
      <c r="O65" s="21">
        <v>63</v>
      </c>
      <c r="P65" s="7">
        <f t="shared" ca="1" si="5"/>
        <v>0.33333333333333331</v>
      </c>
      <c r="Q65" s="7">
        <f t="shared" ca="1" si="3"/>
        <v>0.66666666666666663</v>
      </c>
      <c r="R65" s="7">
        <f t="shared" ca="1" si="1"/>
        <v>0.83333333333333337</v>
      </c>
      <c r="S65" s="7">
        <f t="shared" ca="1" si="2"/>
        <v>0.16666666666666666</v>
      </c>
    </row>
    <row r="66" spans="1:19" x14ac:dyDescent="0.15">
      <c r="A66" s="60">
        <v>33</v>
      </c>
      <c r="B66" s="21" t="s">
        <v>21</v>
      </c>
      <c r="C66" s="21">
        <f>[60]PARS_utr_stat!B66</f>
        <v>5</v>
      </c>
      <c r="D66" s="21">
        <f>[60]PARS_utr_stat!C66</f>
        <v>5</v>
      </c>
      <c r="E66" s="22">
        <f t="shared" ref="E66:F66" si="60">C66/(C66+C67)</f>
        <v>0.45454545454545453</v>
      </c>
      <c r="F66" s="22">
        <f t="shared" si="60"/>
        <v>0.55555555555555558</v>
      </c>
      <c r="I66" s="60">
        <v>33</v>
      </c>
      <c r="J66" s="21" t="s">
        <v>21</v>
      </c>
      <c r="K66" s="22">
        <f t="shared" ref="K66:L129" si="61">E66</f>
        <v>0.45454545454545453</v>
      </c>
      <c r="L66" s="22">
        <f t="shared" si="61"/>
        <v>0.55555555555555558</v>
      </c>
      <c r="O66" s="21">
        <v>64</v>
      </c>
      <c r="P66" s="7">
        <f t="shared" ca="1" si="5"/>
        <v>0.33333333333333331</v>
      </c>
      <c r="Q66" s="7">
        <f t="shared" ca="1" si="3"/>
        <v>0.66666666666666663</v>
      </c>
      <c r="R66" s="7">
        <f t="shared" ca="1" si="1"/>
        <v>0.66666666666666663</v>
      </c>
      <c r="S66" s="7">
        <f t="shared" ca="1" si="2"/>
        <v>0.33333333333333331</v>
      </c>
    </row>
    <row r="67" spans="1:19" x14ac:dyDescent="0.15">
      <c r="A67" s="60"/>
      <c r="B67" s="21" t="s">
        <v>22</v>
      </c>
      <c r="C67" s="21">
        <f>[60]PARS_utr_stat!B67</f>
        <v>6</v>
      </c>
      <c r="D67" s="21">
        <f>[60]PARS_utr_stat!C67</f>
        <v>4</v>
      </c>
      <c r="E67" s="22">
        <f t="shared" ref="E67:F67" si="62">C67/(C66+C67)</f>
        <v>0.54545454545454541</v>
      </c>
      <c r="F67" s="22">
        <f t="shared" si="62"/>
        <v>0.44444444444444442</v>
      </c>
      <c r="I67" s="60"/>
      <c r="J67" s="21" t="s">
        <v>22</v>
      </c>
      <c r="K67" s="22">
        <f t="shared" si="61"/>
        <v>0.54545454545454541</v>
      </c>
      <c r="L67" s="22">
        <f t="shared" si="61"/>
        <v>0.44444444444444442</v>
      </c>
      <c r="O67" s="21">
        <v>65</v>
      </c>
      <c r="P67" s="7">
        <f t="shared" ca="1" si="5"/>
        <v>0.5714285714285714</v>
      </c>
      <c r="Q67" s="7">
        <f t="shared" ca="1" si="3"/>
        <v>0.42857142857142855</v>
      </c>
      <c r="R67" s="7">
        <f t="shared" ca="1" si="1"/>
        <v>0.75</v>
      </c>
      <c r="S67" s="7">
        <f t="shared" ca="1" si="2"/>
        <v>0.25</v>
      </c>
    </row>
    <row r="68" spans="1:19" x14ac:dyDescent="0.15">
      <c r="A68" s="60">
        <v>34</v>
      </c>
      <c r="B68" s="21" t="s">
        <v>21</v>
      </c>
      <c r="C68" s="21">
        <f>[60]PARS_utr_stat!B68</f>
        <v>6</v>
      </c>
      <c r="D68" s="21">
        <f>[60]PARS_utr_stat!C68</f>
        <v>3</v>
      </c>
      <c r="E68" s="22">
        <f t="shared" ref="E68:F68" si="63">C68/(C68+C69)</f>
        <v>0.5</v>
      </c>
      <c r="F68" s="22">
        <f t="shared" si="63"/>
        <v>0.5</v>
      </c>
      <c r="I68" s="60">
        <v>34</v>
      </c>
      <c r="J68" s="21" t="s">
        <v>21</v>
      </c>
      <c r="K68" s="22">
        <f t="shared" si="61"/>
        <v>0.5</v>
      </c>
      <c r="L68" s="22">
        <f t="shared" si="61"/>
        <v>0.5</v>
      </c>
      <c r="O68" s="21">
        <v>66</v>
      </c>
      <c r="P68" s="7">
        <f t="shared" ca="1" si="5"/>
        <v>0.8</v>
      </c>
      <c r="Q68" s="7">
        <f t="shared" ca="1" si="3"/>
        <v>0.2</v>
      </c>
      <c r="R68" s="7">
        <f t="shared" ref="R68:R129" ca="1" si="64">INDIRECT("l"&amp;ROW(L66)*2)</f>
        <v>0.4</v>
      </c>
      <c r="S68" s="7">
        <f t="shared" ref="S68:S129" ca="1" si="65">INDIRECT("l"&amp;ROW(L66)*2+1)</f>
        <v>0.6</v>
      </c>
    </row>
    <row r="69" spans="1:19" x14ac:dyDescent="0.15">
      <c r="A69" s="60"/>
      <c r="B69" s="21" t="s">
        <v>22</v>
      </c>
      <c r="C69" s="21">
        <f>[60]PARS_utr_stat!B69</f>
        <v>6</v>
      </c>
      <c r="D69" s="21">
        <f>[60]PARS_utr_stat!C69</f>
        <v>3</v>
      </c>
      <c r="E69" s="22">
        <f t="shared" ref="E69:F69" si="66">C69/(C68+C69)</f>
        <v>0.5</v>
      </c>
      <c r="F69" s="22">
        <f t="shared" si="66"/>
        <v>0.5</v>
      </c>
      <c r="I69" s="60"/>
      <c r="J69" s="21" t="s">
        <v>22</v>
      </c>
      <c r="K69" s="22">
        <f t="shared" si="61"/>
        <v>0.5</v>
      </c>
      <c r="L69" s="22">
        <f t="shared" si="61"/>
        <v>0.5</v>
      </c>
      <c r="O69" s="21">
        <v>67</v>
      </c>
      <c r="P69" s="7">
        <f t="shared" ca="1" si="5"/>
        <v>0.55555555555555558</v>
      </c>
      <c r="Q69" s="7">
        <f t="shared" ref="Q69:Q129" ca="1" si="67">INDIRECT("K"&amp;ROW(J67)*2+1)</f>
        <v>0.44444444444444442</v>
      </c>
      <c r="R69" s="7">
        <f t="shared" ca="1" si="64"/>
        <v>0.55555555555555558</v>
      </c>
      <c r="S69" s="7">
        <f t="shared" ca="1" si="65"/>
        <v>0.44444444444444442</v>
      </c>
    </row>
    <row r="70" spans="1:19" x14ac:dyDescent="0.15">
      <c r="A70" s="60">
        <v>35</v>
      </c>
      <c r="B70" s="21" t="s">
        <v>21</v>
      </c>
      <c r="C70" s="21">
        <f>[60]PARS_utr_stat!B70</f>
        <v>11</v>
      </c>
      <c r="D70" s="21">
        <f>[60]PARS_utr_stat!C70</f>
        <v>5</v>
      </c>
      <c r="E70" s="22">
        <f t="shared" ref="E70:F70" si="68">C70/(C70+C71)</f>
        <v>0.57894736842105265</v>
      </c>
      <c r="F70" s="22">
        <f t="shared" si="68"/>
        <v>0.7142857142857143</v>
      </c>
      <c r="I70" s="60">
        <v>35</v>
      </c>
      <c r="J70" s="21" t="s">
        <v>21</v>
      </c>
      <c r="K70" s="22">
        <f t="shared" si="61"/>
        <v>0.57894736842105265</v>
      </c>
      <c r="L70" s="22">
        <f t="shared" si="61"/>
        <v>0.7142857142857143</v>
      </c>
      <c r="O70" s="21">
        <v>68</v>
      </c>
      <c r="P70" s="7">
        <f t="shared" ca="1" si="5"/>
        <v>0</v>
      </c>
      <c r="Q70" s="7">
        <f t="shared" ca="1" si="67"/>
        <v>1</v>
      </c>
      <c r="R70" s="7">
        <f t="shared" ca="1" si="64"/>
        <v>0.66666666666666663</v>
      </c>
      <c r="S70" s="7">
        <f t="shared" ca="1" si="65"/>
        <v>0.33333333333333331</v>
      </c>
    </row>
    <row r="71" spans="1:19" x14ac:dyDescent="0.15">
      <c r="A71" s="60"/>
      <c r="B71" s="21" t="s">
        <v>22</v>
      </c>
      <c r="C71" s="21">
        <f>[60]PARS_utr_stat!B71</f>
        <v>8</v>
      </c>
      <c r="D71" s="21">
        <f>[60]PARS_utr_stat!C71</f>
        <v>2</v>
      </c>
      <c r="E71" s="22">
        <f t="shared" ref="E71:F71" si="69">C71/(C70+C71)</f>
        <v>0.42105263157894735</v>
      </c>
      <c r="F71" s="22">
        <f t="shared" si="69"/>
        <v>0.2857142857142857</v>
      </c>
      <c r="I71" s="60"/>
      <c r="J71" s="21" t="s">
        <v>22</v>
      </c>
      <c r="K71" s="22">
        <f t="shared" si="61"/>
        <v>0.42105263157894735</v>
      </c>
      <c r="L71" s="22">
        <f t="shared" si="61"/>
        <v>0.2857142857142857</v>
      </c>
      <c r="O71" s="21">
        <v>69</v>
      </c>
      <c r="P71" s="7">
        <f t="shared" ca="1" si="5"/>
        <v>0.25</v>
      </c>
      <c r="Q71" s="7">
        <f t="shared" ca="1" si="67"/>
        <v>0.75</v>
      </c>
      <c r="R71" s="7">
        <f t="shared" ca="1" si="64"/>
        <v>0.4</v>
      </c>
      <c r="S71" s="7">
        <f t="shared" ca="1" si="65"/>
        <v>0.6</v>
      </c>
    </row>
    <row r="72" spans="1:19" x14ac:dyDescent="0.15">
      <c r="A72" s="60">
        <v>36</v>
      </c>
      <c r="B72" s="21" t="s">
        <v>21</v>
      </c>
      <c r="C72" s="21">
        <f>[60]PARS_utr_stat!B72</f>
        <v>5</v>
      </c>
      <c r="D72" s="21">
        <f>[60]PARS_utr_stat!C72</f>
        <v>7</v>
      </c>
      <c r="E72" s="22">
        <f t="shared" ref="E72:F72" si="70">C72/(C72+C73)</f>
        <v>0.625</v>
      </c>
      <c r="F72" s="22">
        <f t="shared" si="70"/>
        <v>0.77777777777777779</v>
      </c>
      <c r="I72" s="60">
        <v>36</v>
      </c>
      <c r="J72" s="21" t="s">
        <v>21</v>
      </c>
      <c r="K72" s="22">
        <f t="shared" si="61"/>
        <v>0.625</v>
      </c>
      <c r="L72" s="22">
        <f t="shared" si="61"/>
        <v>0.77777777777777779</v>
      </c>
      <c r="O72" s="21">
        <v>70</v>
      </c>
      <c r="P72" s="7">
        <f t="shared" ca="1" si="5"/>
        <v>0.5</v>
      </c>
      <c r="Q72" s="7">
        <f t="shared" ca="1" si="67"/>
        <v>0.5</v>
      </c>
      <c r="R72" s="7">
        <f t="shared" ca="1" si="64"/>
        <v>0.33333333333333331</v>
      </c>
      <c r="S72" s="7">
        <f t="shared" ca="1" si="65"/>
        <v>0.66666666666666663</v>
      </c>
    </row>
    <row r="73" spans="1:19" x14ac:dyDescent="0.15">
      <c r="A73" s="60"/>
      <c r="B73" s="21" t="s">
        <v>22</v>
      </c>
      <c r="C73" s="21">
        <f>[60]PARS_utr_stat!B73</f>
        <v>3</v>
      </c>
      <c r="D73" s="21">
        <f>[60]PARS_utr_stat!C73</f>
        <v>2</v>
      </c>
      <c r="E73" s="22">
        <f t="shared" ref="E73:F73" si="71">C73/(C72+C73)</f>
        <v>0.375</v>
      </c>
      <c r="F73" s="22">
        <f t="shared" si="71"/>
        <v>0.22222222222222221</v>
      </c>
      <c r="I73" s="60"/>
      <c r="J73" s="21" t="s">
        <v>22</v>
      </c>
      <c r="K73" s="22">
        <f t="shared" si="61"/>
        <v>0.375</v>
      </c>
      <c r="L73" s="22">
        <f t="shared" si="61"/>
        <v>0.22222222222222221</v>
      </c>
      <c r="O73" s="21">
        <v>71</v>
      </c>
      <c r="P73" s="7">
        <f t="shared" ca="1" si="5"/>
        <v>0.4</v>
      </c>
      <c r="Q73" s="7">
        <f t="shared" ca="1" si="67"/>
        <v>0.6</v>
      </c>
      <c r="R73" s="7">
        <f t="shared" ca="1" si="64"/>
        <v>0.8</v>
      </c>
      <c r="S73" s="7">
        <f t="shared" ca="1" si="65"/>
        <v>0.2</v>
      </c>
    </row>
    <row r="74" spans="1:19" x14ac:dyDescent="0.15">
      <c r="A74" s="60">
        <v>37</v>
      </c>
      <c r="B74" s="21" t="s">
        <v>21</v>
      </c>
      <c r="C74" s="21">
        <f>[60]PARS_utr_stat!B74</f>
        <v>2</v>
      </c>
      <c r="D74" s="21">
        <f>[60]PARS_utr_stat!C74</f>
        <v>3</v>
      </c>
      <c r="E74" s="22">
        <f t="shared" ref="E74:F74" si="72">C74/(C74+C75)</f>
        <v>0.2857142857142857</v>
      </c>
      <c r="F74" s="22">
        <f t="shared" si="72"/>
        <v>0.6</v>
      </c>
      <c r="I74" s="60">
        <v>37</v>
      </c>
      <c r="J74" s="21" t="s">
        <v>21</v>
      </c>
      <c r="K74" s="22">
        <f t="shared" si="61"/>
        <v>0.2857142857142857</v>
      </c>
      <c r="L74" s="22">
        <f t="shared" si="61"/>
        <v>0.6</v>
      </c>
      <c r="O74" s="21">
        <v>72</v>
      </c>
      <c r="P74" s="7">
        <f t="shared" ca="1" si="5"/>
        <v>0.5714285714285714</v>
      </c>
      <c r="Q74" s="7">
        <f t="shared" ca="1" si="67"/>
        <v>0.42857142857142855</v>
      </c>
      <c r="R74" s="7">
        <f t="shared" ca="1" si="64"/>
        <v>0.14285714285714285</v>
      </c>
      <c r="S74" s="7">
        <f t="shared" ca="1" si="65"/>
        <v>0.8571428571428571</v>
      </c>
    </row>
    <row r="75" spans="1:19" x14ac:dyDescent="0.15">
      <c r="A75" s="60"/>
      <c r="B75" s="21" t="s">
        <v>22</v>
      </c>
      <c r="C75" s="21">
        <f>[60]PARS_utr_stat!B75</f>
        <v>5</v>
      </c>
      <c r="D75" s="21">
        <f>[60]PARS_utr_stat!C75</f>
        <v>2</v>
      </c>
      <c r="E75" s="22">
        <f t="shared" ref="E75:F75" si="73">C75/(C74+C75)</f>
        <v>0.7142857142857143</v>
      </c>
      <c r="F75" s="22">
        <f t="shared" si="73"/>
        <v>0.4</v>
      </c>
      <c r="I75" s="60"/>
      <c r="J75" s="21" t="s">
        <v>22</v>
      </c>
      <c r="K75" s="22">
        <f t="shared" si="61"/>
        <v>0.7142857142857143</v>
      </c>
      <c r="L75" s="22">
        <f t="shared" si="61"/>
        <v>0.4</v>
      </c>
      <c r="O75" s="21">
        <v>73</v>
      </c>
      <c r="P75" s="7">
        <f t="shared" ref="P75:P129" ca="1" si="74">INDIRECT("K"&amp;ROW(K73)*2)</f>
        <v>0.5</v>
      </c>
      <c r="Q75" s="7">
        <f t="shared" ca="1" si="67"/>
        <v>0.5</v>
      </c>
      <c r="R75" s="7">
        <f t="shared" ca="1" si="64"/>
        <v>0.5</v>
      </c>
      <c r="S75" s="7">
        <f t="shared" ca="1" si="65"/>
        <v>0.5</v>
      </c>
    </row>
    <row r="76" spans="1:19" x14ac:dyDescent="0.15">
      <c r="A76" s="60">
        <v>38</v>
      </c>
      <c r="B76" s="21" t="s">
        <v>21</v>
      </c>
      <c r="C76" s="21">
        <f>[60]PARS_utr_stat!B76</f>
        <v>5</v>
      </c>
      <c r="D76" s="21">
        <f>[60]PARS_utr_stat!C76</f>
        <v>6</v>
      </c>
      <c r="E76" s="22">
        <f t="shared" ref="E76:F76" si="75">C76/(C76+C77)</f>
        <v>0.55555555555555558</v>
      </c>
      <c r="F76" s="22">
        <f t="shared" si="75"/>
        <v>0.54545454545454541</v>
      </c>
      <c r="I76" s="60">
        <v>38</v>
      </c>
      <c r="J76" s="21" t="s">
        <v>21</v>
      </c>
      <c r="K76" s="22">
        <f t="shared" si="61"/>
        <v>0.55555555555555558</v>
      </c>
      <c r="L76" s="22">
        <f t="shared" si="61"/>
        <v>0.54545454545454541</v>
      </c>
      <c r="O76" s="21">
        <v>74</v>
      </c>
      <c r="P76" s="7">
        <f t="shared" ca="1" si="74"/>
        <v>0.375</v>
      </c>
      <c r="Q76" s="7">
        <f t="shared" ca="1" si="67"/>
        <v>0.625</v>
      </c>
      <c r="R76" s="7">
        <f t="shared" ca="1" si="64"/>
        <v>0</v>
      </c>
      <c r="S76" s="7">
        <f t="shared" ca="1" si="65"/>
        <v>1</v>
      </c>
    </row>
    <row r="77" spans="1:19" x14ac:dyDescent="0.15">
      <c r="A77" s="60"/>
      <c r="B77" s="21" t="s">
        <v>22</v>
      </c>
      <c r="C77" s="21">
        <f>[60]PARS_utr_stat!B77</f>
        <v>4</v>
      </c>
      <c r="D77" s="21">
        <f>[60]PARS_utr_stat!C77</f>
        <v>5</v>
      </c>
      <c r="E77" s="22">
        <f t="shared" ref="E77:F77" si="76">C77/(C76+C77)</f>
        <v>0.44444444444444442</v>
      </c>
      <c r="F77" s="22">
        <f t="shared" si="76"/>
        <v>0.45454545454545453</v>
      </c>
      <c r="I77" s="60"/>
      <c r="J77" s="21" t="s">
        <v>22</v>
      </c>
      <c r="K77" s="22">
        <f t="shared" si="61"/>
        <v>0.44444444444444442</v>
      </c>
      <c r="L77" s="22">
        <f t="shared" si="61"/>
        <v>0.45454545454545453</v>
      </c>
      <c r="O77" s="21">
        <v>75</v>
      </c>
      <c r="P77" s="7">
        <f t="shared" ca="1" si="74"/>
        <v>0.8</v>
      </c>
      <c r="Q77" s="7">
        <f t="shared" ca="1" si="67"/>
        <v>0.2</v>
      </c>
      <c r="R77" s="7">
        <f t="shared" ca="1" si="64"/>
        <v>0</v>
      </c>
      <c r="S77" s="7">
        <f t="shared" ca="1" si="65"/>
        <v>1</v>
      </c>
    </row>
    <row r="78" spans="1:19" x14ac:dyDescent="0.15">
      <c r="A78" s="60">
        <v>39</v>
      </c>
      <c r="B78" s="21" t="s">
        <v>21</v>
      </c>
      <c r="C78" s="21">
        <f>[60]PARS_utr_stat!B78</f>
        <v>6</v>
      </c>
      <c r="D78" s="21">
        <f>[60]PARS_utr_stat!C78</f>
        <v>4</v>
      </c>
      <c r="E78" s="22">
        <f t="shared" ref="E78:F78" si="77">C78/(C78+C79)</f>
        <v>0.46153846153846156</v>
      </c>
      <c r="F78" s="22">
        <f t="shared" si="77"/>
        <v>0.8</v>
      </c>
      <c r="I78" s="60">
        <v>39</v>
      </c>
      <c r="J78" s="21" t="s">
        <v>21</v>
      </c>
      <c r="K78" s="22">
        <f t="shared" si="61"/>
        <v>0.46153846153846156</v>
      </c>
      <c r="L78" s="22">
        <f t="shared" si="61"/>
        <v>0.8</v>
      </c>
      <c r="O78" s="21">
        <v>76</v>
      </c>
      <c r="P78" s="7">
        <f t="shared" ca="1" si="74"/>
        <v>0.5</v>
      </c>
      <c r="Q78" s="7">
        <f t="shared" ca="1" si="67"/>
        <v>0.5</v>
      </c>
      <c r="R78" s="7">
        <f t="shared" ca="1" si="64"/>
        <v>0.33333333333333331</v>
      </c>
      <c r="S78" s="7">
        <f t="shared" ca="1" si="65"/>
        <v>0.66666666666666663</v>
      </c>
    </row>
    <row r="79" spans="1:19" x14ac:dyDescent="0.15">
      <c r="A79" s="60"/>
      <c r="B79" s="21" t="s">
        <v>22</v>
      </c>
      <c r="C79" s="21">
        <f>[60]PARS_utr_stat!B79</f>
        <v>7</v>
      </c>
      <c r="D79" s="21">
        <f>[60]PARS_utr_stat!C79</f>
        <v>1</v>
      </c>
      <c r="E79" s="22">
        <f t="shared" ref="E79:F79" si="78">C79/(C78+C79)</f>
        <v>0.53846153846153844</v>
      </c>
      <c r="F79" s="22">
        <f t="shared" si="78"/>
        <v>0.2</v>
      </c>
      <c r="I79" s="60"/>
      <c r="J79" s="21" t="s">
        <v>22</v>
      </c>
      <c r="K79" s="22">
        <f t="shared" si="61"/>
        <v>0.53846153846153844</v>
      </c>
      <c r="L79" s="22">
        <f t="shared" si="61"/>
        <v>0.2</v>
      </c>
      <c r="O79" s="21">
        <v>77</v>
      </c>
      <c r="P79" s="7">
        <f t="shared" ca="1" si="74"/>
        <v>0.66666666666666663</v>
      </c>
      <c r="Q79" s="7">
        <f t="shared" ca="1" si="67"/>
        <v>0.33333333333333331</v>
      </c>
      <c r="R79" s="7">
        <f t="shared" ca="1" si="64"/>
        <v>0.5</v>
      </c>
      <c r="S79" s="7">
        <f t="shared" ca="1" si="65"/>
        <v>0.5</v>
      </c>
    </row>
    <row r="80" spans="1:19" x14ac:dyDescent="0.15">
      <c r="A80" s="60">
        <v>40</v>
      </c>
      <c r="B80" s="21" t="s">
        <v>21</v>
      </c>
      <c r="C80" s="21">
        <f>[60]PARS_utr_stat!B80</f>
        <v>3</v>
      </c>
      <c r="D80" s="21">
        <f>[60]PARS_utr_stat!C80</f>
        <v>10</v>
      </c>
      <c r="E80" s="22">
        <f t="shared" ref="E80:F80" si="79">C80/(C80+C81)</f>
        <v>0.5</v>
      </c>
      <c r="F80" s="22">
        <f t="shared" si="79"/>
        <v>0.76923076923076927</v>
      </c>
      <c r="I80" s="60">
        <v>40</v>
      </c>
      <c r="J80" s="21" t="s">
        <v>21</v>
      </c>
      <c r="K80" s="22">
        <f t="shared" si="61"/>
        <v>0.5</v>
      </c>
      <c r="L80" s="22">
        <f t="shared" si="61"/>
        <v>0.76923076923076927</v>
      </c>
      <c r="O80" s="21">
        <v>78</v>
      </c>
      <c r="P80" s="7">
        <f t="shared" ca="1" si="74"/>
        <v>0.7142857142857143</v>
      </c>
      <c r="Q80" s="7">
        <f t="shared" ca="1" si="67"/>
        <v>0.2857142857142857</v>
      </c>
      <c r="R80" s="7">
        <f t="shared" ca="1" si="64"/>
        <v>0.5</v>
      </c>
      <c r="S80" s="7">
        <f t="shared" ca="1" si="65"/>
        <v>0.5</v>
      </c>
    </row>
    <row r="81" spans="1:19" x14ac:dyDescent="0.15">
      <c r="A81" s="60"/>
      <c r="B81" s="21" t="s">
        <v>22</v>
      </c>
      <c r="C81" s="21">
        <f>[60]PARS_utr_stat!B81</f>
        <v>3</v>
      </c>
      <c r="D81" s="21">
        <f>[60]PARS_utr_stat!C81</f>
        <v>3</v>
      </c>
      <c r="E81" s="22">
        <f t="shared" ref="E81:F81" si="80">C81/(C80+C81)</f>
        <v>0.5</v>
      </c>
      <c r="F81" s="22">
        <f t="shared" si="80"/>
        <v>0.23076923076923078</v>
      </c>
      <c r="I81" s="60"/>
      <c r="J81" s="21" t="s">
        <v>22</v>
      </c>
      <c r="K81" s="22">
        <f t="shared" si="61"/>
        <v>0.5</v>
      </c>
      <c r="L81" s="22">
        <f t="shared" si="61"/>
        <v>0.23076923076923078</v>
      </c>
      <c r="O81" s="21">
        <v>79</v>
      </c>
      <c r="P81" s="7">
        <f t="shared" ca="1" si="74"/>
        <v>0.75</v>
      </c>
      <c r="Q81" s="7">
        <f t="shared" ca="1" si="67"/>
        <v>0.25</v>
      </c>
      <c r="R81" s="7">
        <f t="shared" ca="1" si="64"/>
        <v>0</v>
      </c>
      <c r="S81" s="7">
        <f t="shared" ca="1" si="65"/>
        <v>1</v>
      </c>
    </row>
    <row r="82" spans="1:19" x14ac:dyDescent="0.15">
      <c r="A82" s="60">
        <v>41</v>
      </c>
      <c r="B82" s="21" t="s">
        <v>21</v>
      </c>
      <c r="C82" s="21">
        <f>[60]PARS_utr_stat!B82</f>
        <v>4</v>
      </c>
      <c r="D82" s="21">
        <f>[60]PARS_utr_stat!C82</f>
        <v>3</v>
      </c>
      <c r="E82" s="22">
        <f t="shared" ref="E82:F82" si="81">C82/(C82+C83)</f>
        <v>0.5714285714285714</v>
      </c>
      <c r="F82" s="22">
        <f t="shared" si="81"/>
        <v>0.5</v>
      </c>
      <c r="I82" s="60">
        <v>41</v>
      </c>
      <c r="J82" s="21" t="s">
        <v>21</v>
      </c>
      <c r="K82" s="22">
        <f t="shared" si="61"/>
        <v>0.5714285714285714</v>
      </c>
      <c r="L82" s="22">
        <f t="shared" si="61"/>
        <v>0.5</v>
      </c>
      <c r="O82" s="21">
        <v>80</v>
      </c>
      <c r="P82" s="7">
        <f t="shared" ca="1" si="74"/>
        <v>0.33333333333333331</v>
      </c>
      <c r="Q82" s="7">
        <f t="shared" ca="1" si="67"/>
        <v>0.66666666666666663</v>
      </c>
      <c r="R82" s="7">
        <f t="shared" ca="1" si="64"/>
        <v>0.66666666666666663</v>
      </c>
      <c r="S82" s="7">
        <f t="shared" ca="1" si="65"/>
        <v>0.33333333333333331</v>
      </c>
    </row>
    <row r="83" spans="1:19" x14ac:dyDescent="0.15">
      <c r="A83" s="60"/>
      <c r="B83" s="21" t="s">
        <v>22</v>
      </c>
      <c r="C83" s="21">
        <f>[60]PARS_utr_stat!B83</f>
        <v>3</v>
      </c>
      <c r="D83" s="21">
        <f>[60]PARS_utr_stat!C83</f>
        <v>3</v>
      </c>
      <c r="E83" s="22">
        <f t="shared" ref="E83:F83" si="82">C83/(C82+C83)</f>
        <v>0.42857142857142855</v>
      </c>
      <c r="F83" s="22">
        <f t="shared" si="82"/>
        <v>0.5</v>
      </c>
      <c r="I83" s="60"/>
      <c r="J83" s="21" t="s">
        <v>22</v>
      </c>
      <c r="K83" s="22">
        <f t="shared" si="61"/>
        <v>0.42857142857142855</v>
      </c>
      <c r="L83" s="22">
        <f t="shared" si="61"/>
        <v>0.5</v>
      </c>
      <c r="O83" s="21">
        <v>81</v>
      </c>
      <c r="P83" s="7">
        <f t="shared" ca="1" si="74"/>
        <v>0.5</v>
      </c>
      <c r="Q83" s="7">
        <f t="shared" ca="1" si="67"/>
        <v>0.5</v>
      </c>
      <c r="R83" s="7">
        <f t="shared" ca="1" si="64"/>
        <v>0.5</v>
      </c>
      <c r="S83" s="7">
        <f t="shared" ca="1" si="65"/>
        <v>0.5</v>
      </c>
    </row>
    <row r="84" spans="1:19" x14ac:dyDescent="0.15">
      <c r="A84" s="60">
        <v>42</v>
      </c>
      <c r="B84" s="21" t="s">
        <v>21</v>
      </c>
      <c r="C84" s="21">
        <f>[60]PARS_utr_stat!B84</f>
        <v>5</v>
      </c>
      <c r="D84" s="21">
        <f>[60]PARS_utr_stat!C84</f>
        <v>3</v>
      </c>
      <c r="E84" s="22">
        <f t="shared" ref="E84:F84" si="83">C84/(C84+C85)</f>
        <v>0.625</v>
      </c>
      <c r="F84" s="22">
        <f t="shared" si="83"/>
        <v>0.33333333333333331</v>
      </c>
      <c r="I84" s="60">
        <v>42</v>
      </c>
      <c r="J84" s="21" t="s">
        <v>21</v>
      </c>
      <c r="K84" s="22">
        <f t="shared" si="61"/>
        <v>0.625</v>
      </c>
      <c r="L84" s="22">
        <f t="shared" si="61"/>
        <v>0.33333333333333331</v>
      </c>
      <c r="O84" s="21">
        <v>82</v>
      </c>
      <c r="P84" s="7">
        <f t="shared" ca="1" si="74"/>
        <v>1</v>
      </c>
      <c r="Q84" s="7">
        <f t="shared" ca="1" si="67"/>
        <v>0</v>
      </c>
      <c r="R84" s="7">
        <f t="shared" ca="1" si="64"/>
        <v>0.875</v>
      </c>
      <c r="S84" s="7">
        <f t="shared" ca="1" si="65"/>
        <v>0.125</v>
      </c>
    </row>
    <row r="85" spans="1:19" x14ac:dyDescent="0.15">
      <c r="A85" s="60"/>
      <c r="B85" s="21" t="s">
        <v>22</v>
      </c>
      <c r="C85" s="21">
        <f>[60]PARS_utr_stat!B85</f>
        <v>3</v>
      </c>
      <c r="D85" s="21">
        <f>[60]PARS_utr_stat!C85</f>
        <v>6</v>
      </c>
      <c r="E85" s="22">
        <f t="shared" ref="E85:F85" si="84">C85/(C84+C85)</f>
        <v>0.375</v>
      </c>
      <c r="F85" s="22">
        <f t="shared" si="84"/>
        <v>0.66666666666666663</v>
      </c>
      <c r="I85" s="60"/>
      <c r="J85" s="21" t="s">
        <v>22</v>
      </c>
      <c r="K85" s="22">
        <f t="shared" si="61"/>
        <v>0.375</v>
      </c>
      <c r="L85" s="22">
        <f t="shared" si="61"/>
        <v>0.66666666666666663</v>
      </c>
      <c r="O85" s="21">
        <v>83</v>
      </c>
      <c r="P85" s="7">
        <f t="shared" ca="1" si="74"/>
        <v>0.4</v>
      </c>
      <c r="Q85" s="7">
        <f t="shared" ca="1" si="67"/>
        <v>0.6</v>
      </c>
      <c r="R85" s="7">
        <f t="shared" ca="1" si="64"/>
        <v>0.33333333333333331</v>
      </c>
      <c r="S85" s="7">
        <f t="shared" ca="1" si="65"/>
        <v>0.66666666666666663</v>
      </c>
    </row>
    <row r="86" spans="1:19" x14ac:dyDescent="0.15">
      <c r="A86" s="60">
        <v>43</v>
      </c>
      <c r="B86" s="21" t="s">
        <v>21</v>
      </c>
      <c r="C86" s="21">
        <f>[60]PARS_utr_stat!B86</f>
        <v>7</v>
      </c>
      <c r="D86" s="21">
        <f>[60]PARS_utr_stat!C86</f>
        <v>1</v>
      </c>
      <c r="E86" s="22">
        <f t="shared" ref="E86:F86" si="85">C86/(C86+C87)</f>
        <v>0.53846153846153844</v>
      </c>
      <c r="F86" s="22">
        <f t="shared" si="85"/>
        <v>0.33333333333333331</v>
      </c>
      <c r="I86" s="60">
        <v>43</v>
      </c>
      <c r="J86" s="21" t="s">
        <v>21</v>
      </c>
      <c r="K86" s="22">
        <f t="shared" si="61"/>
        <v>0.53846153846153844</v>
      </c>
      <c r="L86" s="22">
        <f t="shared" si="61"/>
        <v>0.33333333333333331</v>
      </c>
      <c r="O86" s="21">
        <v>84</v>
      </c>
      <c r="P86" s="7">
        <f t="shared" ca="1" si="74"/>
        <v>0.36363636363636365</v>
      </c>
      <c r="Q86" s="7">
        <f t="shared" ca="1" si="67"/>
        <v>0.63636363636363635</v>
      </c>
      <c r="R86" s="7">
        <f t="shared" ca="1" si="64"/>
        <v>0.5714285714285714</v>
      </c>
      <c r="S86" s="7">
        <f t="shared" ca="1" si="65"/>
        <v>0.42857142857142855</v>
      </c>
    </row>
    <row r="87" spans="1:19" x14ac:dyDescent="0.15">
      <c r="A87" s="60"/>
      <c r="B87" s="21" t="s">
        <v>22</v>
      </c>
      <c r="C87" s="21">
        <f>[60]PARS_utr_stat!B87</f>
        <v>6</v>
      </c>
      <c r="D87" s="21">
        <f>[60]PARS_utr_stat!C87</f>
        <v>2</v>
      </c>
      <c r="E87" s="22">
        <f t="shared" ref="E87:F87" si="86">C87/(C86+C87)</f>
        <v>0.46153846153846156</v>
      </c>
      <c r="F87" s="22">
        <f t="shared" si="86"/>
        <v>0.66666666666666663</v>
      </c>
      <c r="I87" s="60"/>
      <c r="J87" s="21" t="s">
        <v>22</v>
      </c>
      <c r="K87" s="22">
        <f t="shared" si="61"/>
        <v>0.46153846153846156</v>
      </c>
      <c r="L87" s="22">
        <f t="shared" si="61"/>
        <v>0.66666666666666663</v>
      </c>
      <c r="O87" s="21">
        <v>85</v>
      </c>
      <c r="P87" s="7">
        <f t="shared" ca="1" si="74"/>
        <v>0.33333333333333331</v>
      </c>
      <c r="Q87" s="7">
        <f t="shared" ca="1" si="67"/>
        <v>0.66666666666666663</v>
      </c>
      <c r="R87" s="7">
        <f t="shared" ca="1" si="64"/>
        <v>1</v>
      </c>
      <c r="S87" s="7">
        <f t="shared" ca="1" si="65"/>
        <v>0</v>
      </c>
    </row>
    <row r="88" spans="1:19" x14ac:dyDescent="0.15">
      <c r="A88" s="60">
        <v>44</v>
      </c>
      <c r="B88" s="21" t="s">
        <v>21</v>
      </c>
      <c r="C88" s="21">
        <f>[60]PARS_utr_stat!B88</f>
        <v>3</v>
      </c>
      <c r="D88" s="21">
        <f>[60]PARS_utr_stat!C88</f>
        <v>5</v>
      </c>
      <c r="E88" s="22">
        <f t="shared" ref="E88:F88" si="87">C88/(C88+C89)</f>
        <v>0.42857142857142855</v>
      </c>
      <c r="F88" s="22">
        <f t="shared" si="87"/>
        <v>0.7142857142857143</v>
      </c>
      <c r="I88" s="60">
        <v>44</v>
      </c>
      <c r="J88" s="21" t="s">
        <v>21</v>
      </c>
      <c r="K88" s="22">
        <f t="shared" si="61"/>
        <v>0.42857142857142855</v>
      </c>
      <c r="L88" s="22">
        <f t="shared" si="61"/>
        <v>0.7142857142857143</v>
      </c>
      <c r="O88" s="21">
        <v>86</v>
      </c>
      <c r="P88" s="7">
        <f t="shared" ca="1" si="74"/>
        <v>0.4</v>
      </c>
      <c r="Q88" s="7">
        <f t="shared" ca="1" si="67"/>
        <v>0.6</v>
      </c>
      <c r="R88" s="7">
        <f t="shared" ca="1" si="64"/>
        <v>0.5</v>
      </c>
      <c r="S88" s="7">
        <f t="shared" ca="1" si="65"/>
        <v>0.5</v>
      </c>
    </row>
    <row r="89" spans="1:19" x14ac:dyDescent="0.15">
      <c r="A89" s="60"/>
      <c r="B89" s="21" t="s">
        <v>22</v>
      </c>
      <c r="C89" s="21">
        <f>[60]PARS_utr_stat!B89</f>
        <v>4</v>
      </c>
      <c r="D89" s="21">
        <f>[60]PARS_utr_stat!C89</f>
        <v>2</v>
      </c>
      <c r="E89" s="22">
        <f t="shared" ref="E89:F89" si="88">C89/(C88+C89)</f>
        <v>0.5714285714285714</v>
      </c>
      <c r="F89" s="22">
        <f t="shared" si="88"/>
        <v>0.2857142857142857</v>
      </c>
      <c r="I89" s="60"/>
      <c r="J89" s="21" t="s">
        <v>22</v>
      </c>
      <c r="K89" s="22">
        <f t="shared" si="61"/>
        <v>0.5714285714285714</v>
      </c>
      <c r="L89" s="22">
        <f t="shared" si="61"/>
        <v>0.2857142857142857</v>
      </c>
      <c r="O89" s="21">
        <v>87</v>
      </c>
      <c r="P89" s="7">
        <f t="shared" ca="1" si="74"/>
        <v>0.625</v>
      </c>
      <c r="Q89" s="7">
        <f t="shared" ca="1" si="67"/>
        <v>0.375</v>
      </c>
      <c r="R89" s="7">
        <f t="shared" ca="1" si="64"/>
        <v>0.25</v>
      </c>
      <c r="S89" s="7">
        <f t="shared" ca="1" si="65"/>
        <v>0.75</v>
      </c>
    </row>
    <row r="90" spans="1:19" x14ac:dyDescent="0.15">
      <c r="A90" s="60">
        <v>45</v>
      </c>
      <c r="B90" s="21" t="s">
        <v>21</v>
      </c>
      <c r="C90" s="21">
        <f>[60]PARS_utr_stat!B90</f>
        <v>4</v>
      </c>
      <c r="D90" s="21">
        <f>[60]PARS_utr_stat!C90</f>
        <v>5</v>
      </c>
      <c r="E90" s="22">
        <f t="shared" ref="E90:F90" si="89">C90/(C90+C91)</f>
        <v>0.36363636363636365</v>
      </c>
      <c r="F90" s="22">
        <f t="shared" si="89"/>
        <v>0.7142857142857143</v>
      </c>
      <c r="I90" s="60">
        <v>45</v>
      </c>
      <c r="J90" s="21" t="s">
        <v>21</v>
      </c>
      <c r="K90" s="22">
        <f t="shared" si="61"/>
        <v>0.36363636363636365</v>
      </c>
      <c r="L90" s="22">
        <f t="shared" si="61"/>
        <v>0.7142857142857143</v>
      </c>
      <c r="O90" s="21">
        <v>88</v>
      </c>
      <c r="P90" s="7">
        <f t="shared" ca="1" si="74"/>
        <v>0.4</v>
      </c>
      <c r="Q90" s="7">
        <f t="shared" ca="1" si="67"/>
        <v>0.6</v>
      </c>
      <c r="R90" s="7">
        <f t="shared" ca="1" si="64"/>
        <v>0.2</v>
      </c>
      <c r="S90" s="7">
        <f t="shared" ca="1" si="65"/>
        <v>0.8</v>
      </c>
    </row>
    <row r="91" spans="1:19" x14ac:dyDescent="0.15">
      <c r="A91" s="60"/>
      <c r="B91" s="21" t="s">
        <v>22</v>
      </c>
      <c r="C91" s="21">
        <f>[60]PARS_utr_stat!B91</f>
        <v>7</v>
      </c>
      <c r="D91" s="21">
        <f>[60]PARS_utr_stat!C91</f>
        <v>2</v>
      </c>
      <c r="E91" s="22">
        <f t="shared" ref="E91:F91" si="90">C91/(C90+C91)</f>
        <v>0.63636363636363635</v>
      </c>
      <c r="F91" s="22">
        <f t="shared" si="90"/>
        <v>0.2857142857142857</v>
      </c>
      <c r="I91" s="60"/>
      <c r="J91" s="21" t="s">
        <v>22</v>
      </c>
      <c r="K91" s="22">
        <f t="shared" si="61"/>
        <v>0.63636363636363635</v>
      </c>
      <c r="L91" s="22">
        <f t="shared" si="61"/>
        <v>0.2857142857142857</v>
      </c>
      <c r="O91" s="21">
        <v>89</v>
      </c>
      <c r="P91" s="7">
        <f t="shared" ca="1" si="74"/>
        <v>0.5</v>
      </c>
      <c r="Q91" s="7">
        <f t="shared" ca="1" si="67"/>
        <v>0.5</v>
      </c>
      <c r="R91" s="7">
        <f t="shared" ca="1" si="64"/>
        <v>0.4</v>
      </c>
      <c r="S91" s="7">
        <f t="shared" ca="1" si="65"/>
        <v>0.6</v>
      </c>
    </row>
    <row r="92" spans="1:19" x14ac:dyDescent="0.15">
      <c r="A92" s="60">
        <v>46</v>
      </c>
      <c r="B92" s="21" t="s">
        <v>21</v>
      </c>
      <c r="C92" s="21">
        <f>[60]PARS_utr_stat!B92</f>
        <v>3</v>
      </c>
      <c r="D92" s="21">
        <f>[60]PARS_utr_stat!C92</f>
        <v>2</v>
      </c>
      <c r="E92" s="22">
        <f t="shared" ref="E92:F92" si="91">C92/(C92+C93)</f>
        <v>0.6</v>
      </c>
      <c r="F92" s="22">
        <f t="shared" si="91"/>
        <v>0.33333333333333331</v>
      </c>
      <c r="I92" s="60">
        <v>46</v>
      </c>
      <c r="J92" s="21" t="s">
        <v>21</v>
      </c>
      <c r="K92" s="22">
        <f t="shared" si="61"/>
        <v>0.6</v>
      </c>
      <c r="L92" s="22">
        <f t="shared" si="61"/>
        <v>0.33333333333333331</v>
      </c>
      <c r="O92" s="21">
        <v>90</v>
      </c>
      <c r="P92" s="7">
        <f t="shared" ca="1" si="74"/>
        <v>0.66666666666666663</v>
      </c>
      <c r="Q92" s="7">
        <f t="shared" ca="1" si="67"/>
        <v>0.33333333333333331</v>
      </c>
      <c r="R92" s="7">
        <f t="shared" ca="1" si="64"/>
        <v>0.75</v>
      </c>
      <c r="S92" s="7">
        <f t="shared" ca="1" si="65"/>
        <v>0.25</v>
      </c>
    </row>
    <row r="93" spans="1:19" x14ac:dyDescent="0.15">
      <c r="A93" s="60"/>
      <c r="B93" s="21" t="s">
        <v>22</v>
      </c>
      <c r="C93" s="21">
        <f>[60]PARS_utr_stat!B93</f>
        <v>2</v>
      </c>
      <c r="D93" s="21">
        <f>[60]PARS_utr_stat!C93</f>
        <v>4</v>
      </c>
      <c r="E93" s="22">
        <f t="shared" ref="E93:F93" si="92">C93/(C92+C93)</f>
        <v>0.4</v>
      </c>
      <c r="F93" s="22">
        <f t="shared" si="92"/>
        <v>0.66666666666666663</v>
      </c>
      <c r="I93" s="60"/>
      <c r="J93" s="21" t="s">
        <v>22</v>
      </c>
      <c r="K93" s="22">
        <f t="shared" si="61"/>
        <v>0.4</v>
      </c>
      <c r="L93" s="22">
        <f t="shared" si="61"/>
        <v>0.66666666666666663</v>
      </c>
      <c r="O93" s="21">
        <v>91</v>
      </c>
      <c r="P93" s="7">
        <f t="shared" ca="1" si="74"/>
        <v>0.66666666666666663</v>
      </c>
      <c r="Q93" s="7">
        <f t="shared" ca="1" si="67"/>
        <v>0.33333333333333331</v>
      </c>
      <c r="R93" s="7">
        <f t="shared" ca="1" si="64"/>
        <v>0.25</v>
      </c>
      <c r="S93" s="7">
        <f t="shared" ca="1" si="65"/>
        <v>0.75</v>
      </c>
    </row>
    <row r="94" spans="1:19" x14ac:dyDescent="0.15">
      <c r="A94" s="60">
        <v>47</v>
      </c>
      <c r="B94" s="21" t="s">
        <v>21</v>
      </c>
      <c r="C94" s="21">
        <f>[60]PARS_utr_stat!B94</f>
        <v>4</v>
      </c>
      <c r="D94" s="21">
        <f>[60]PARS_utr_stat!C94</f>
        <v>2</v>
      </c>
      <c r="E94" s="22">
        <f t="shared" ref="E94:F94" si="93">C94/(C94+C95)</f>
        <v>0.66666666666666663</v>
      </c>
      <c r="F94" s="22">
        <f t="shared" si="93"/>
        <v>0.4</v>
      </c>
      <c r="I94" s="60">
        <v>47</v>
      </c>
      <c r="J94" s="21" t="s">
        <v>21</v>
      </c>
      <c r="K94" s="22">
        <f t="shared" si="61"/>
        <v>0.66666666666666663</v>
      </c>
      <c r="L94" s="22">
        <f t="shared" si="61"/>
        <v>0.4</v>
      </c>
      <c r="O94" s="21">
        <v>92</v>
      </c>
      <c r="P94" s="7">
        <f t="shared" ca="1" si="74"/>
        <v>0.8</v>
      </c>
      <c r="Q94" s="7">
        <f t="shared" ca="1" si="67"/>
        <v>0.2</v>
      </c>
      <c r="R94" s="7">
        <f t="shared" ca="1" si="64"/>
        <v>0.25</v>
      </c>
      <c r="S94" s="7">
        <f t="shared" ca="1" si="65"/>
        <v>0.75</v>
      </c>
    </row>
    <row r="95" spans="1:19" x14ac:dyDescent="0.15">
      <c r="A95" s="60"/>
      <c r="B95" s="21" t="s">
        <v>22</v>
      </c>
      <c r="C95" s="21">
        <f>[60]PARS_utr_stat!B95</f>
        <v>2</v>
      </c>
      <c r="D95" s="21">
        <f>[60]PARS_utr_stat!C95</f>
        <v>3</v>
      </c>
      <c r="E95" s="22">
        <f t="shared" ref="E95:F95" si="94">C95/(C94+C95)</f>
        <v>0.33333333333333331</v>
      </c>
      <c r="F95" s="22">
        <f t="shared" si="94"/>
        <v>0.6</v>
      </c>
      <c r="I95" s="60"/>
      <c r="J95" s="21" t="s">
        <v>22</v>
      </c>
      <c r="K95" s="22">
        <f t="shared" si="61"/>
        <v>0.33333333333333331</v>
      </c>
      <c r="L95" s="22">
        <f t="shared" si="61"/>
        <v>0.6</v>
      </c>
      <c r="O95" s="21">
        <v>93</v>
      </c>
      <c r="P95" s="7">
        <f t="shared" ca="1" si="74"/>
        <v>0.7142857142857143</v>
      </c>
      <c r="Q95" s="7">
        <f t="shared" ca="1" si="67"/>
        <v>0.2857142857142857</v>
      </c>
      <c r="R95" s="7">
        <f t="shared" ca="1" si="64"/>
        <v>1</v>
      </c>
      <c r="S95" s="7">
        <f t="shared" ca="1" si="65"/>
        <v>0</v>
      </c>
    </row>
    <row r="96" spans="1:19" x14ac:dyDescent="0.15">
      <c r="A96" s="60">
        <v>48</v>
      </c>
      <c r="B96" s="21" t="s">
        <v>21</v>
      </c>
      <c r="C96" s="21">
        <f>[60]PARS_utr_stat!B96</f>
        <v>8</v>
      </c>
      <c r="D96" s="21">
        <f>[60]PARS_utr_stat!C96</f>
        <v>6</v>
      </c>
      <c r="E96" s="22">
        <f t="shared" ref="E96:F96" si="95">C96/(C96+C97)</f>
        <v>0.88888888888888884</v>
      </c>
      <c r="F96" s="22">
        <f t="shared" si="95"/>
        <v>0.6</v>
      </c>
      <c r="I96" s="60">
        <v>48</v>
      </c>
      <c r="J96" s="21" t="s">
        <v>21</v>
      </c>
      <c r="K96" s="22">
        <f t="shared" si="61"/>
        <v>0.88888888888888884</v>
      </c>
      <c r="L96" s="22">
        <f t="shared" si="61"/>
        <v>0.6</v>
      </c>
      <c r="O96" s="21">
        <v>94</v>
      </c>
      <c r="P96" s="7">
        <f t="shared" ca="1" si="74"/>
        <v>0.69230769230769229</v>
      </c>
      <c r="Q96" s="7">
        <f t="shared" ca="1" si="67"/>
        <v>0.30769230769230771</v>
      </c>
      <c r="R96" s="7">
        <f t="shared" ca="1" si="64"/>
        <v>0.8571428571428571</v>
      </c>
      <c r="S96" s="7">
        <f t="shared" ca="1" si="65"/>
        <v>0.14285714285714285</v>
      </c>
    </row>
    <row r="97" spans="1:19" x14ac:dyDescent="0.15">
      <c r="A97" s="60"/>
      <c r="B97" s="21" t="s">
        <v>22</v>
      </c>
      <c r="C97" s="21">
        <f>[60]PARS_utr_stat!B97</f>
        <v>1</v>
      </c>
      <c r="D97" s="21">
        <f>[60]PARS_utr_stat!C97</f>
        <v>4</v>
      </c>
      <c r="E97" s="22">
        <f t="shared" ref="E97:F97" si="96">C97/(C96+C97)</f>
        <v>0.1111111111111111</v>
      </c>
      <c r="F97" s="22">
        <f t="shared" si="96"/>
        <v>0.4</v>
      </c>
      <c r="I97" s="60"/>
      <c r="J97" s="21" t="s">
        <v>22</v>
      </c>
      <c r="K97" s="22">
        <f t="shared" si="61"/>
        <v>0.1111111111111111</v>
      </c>
      <c r="L97" s="22">
        <f t="shared" si="61"/>
        <v>0.4</v>
      </c>
      <c r="O97" s="21">
        <v>95</v>
      </c>
      <c r="P97" s="7">
        <f t="shared" ca="1" si="74"/>
        <v>0</v>
      </c>
      <c r="Q97" s="7">
        <f t="shared" ca="1" si="67"/>
        <v>1</v>
      </c>
      <c r="R97" s="7">
        <f t="shared" ca="1" si="64"/>
        <v>0.5</v>
      </c>
      <c r="S97" s="7">
        <f t="shared" ca="1" si="65"/>
        <v>0.5</v>
      </c>
    </row>
    <row r="98" spans="1:19" x14ac:dyDescent="0.15">
      <c r="A98" s="60">
        <v>49</v>
      </c>
      <c r="B98" s="21" t="s">
        <v>21</v>
      </c>
      <c r="C98" s="21">
        <f>[60]PARS_utr_stat!B98</f>
        <v>5</v>
      </c>
      <c r="D98" s="21">
        <f>[60]PARS_utr_stat!C98</f>
        <v>3</v>
      </c>
      <c r="E98" s="22">
        <f t="shared" ref="E98:F98" si="97">C98/(C98+C99)</f>
        <v>0.625</v>
      </c>
      <c r="F98" s="22">
        <f t="shared" si="97"/>
        <v>0.75</v>
      </c>
      <c r="I98" s="60">
        <v>49</v>
      </c>
      <c r="J98" s="21" t="s">
        <v>21</v>
      </c>
      <c r="K98" s="22">
        <f t="shared" si="61"/>
        <v>0.625</v>
      </c>
      <c r="L98" s="22">
        <f t="shared" si="61"/>
        <v>0.75</v>
      </c>
      <c r="O98" s="21">
        <v>96</v>
      </c>
      <c r="P98" s="7">
        <f t="shared" ca="1" si="74"/>
        <v>0.55555555555555558</v>
      </c>
      <c r="Q98" s="7">
        <f t="shared" ca="1" si="67"/>
        <v>0.44444444444444442</v>
      </c>
      <c r="R98" s="7">
        <f t="shared" ca="1" si="64"/>
        <v>1</v>
      </c>
      <c r="S98" s="7">
        <f t="shared" ca="1" si="65"/>
        <v>0</v>
      </c>
    </row>
    <row r="99" spans="1:19" x14ac:dyDescent="0.15">
      <c r="A99" s="60"/>
      <c r="B99" s="21" t="s">
        <v>22</v>
      </c>
      <c r="C99" s="21">
        <f>[60]PARS_utr_stat!B99</f>
        <v>3</v>
      </c>
      <c r="D99" s="21">
        <f>[60]PARS_utr_stat!C99</f>
        <v>1</v>
      </c>
      <c r="E99" s="22">
        <f t="shared" ref="E99:F99" si="98">C99/(C98+C99)</f>
        <v>0.375</v>
      </c>
      <c r="F99" s="22">
        <f t="shared" si="98"/>
        <v>0.25</v>
      </c>
      <c r="I99" s="60"/>
      <c r="J99" s="21" t="s">
        <v>22</v>
      </c>
      <c r="K99" s="22">
        <f t="shared" si="61"/>
        <v>0.375</v>
      </c>
      <c r="L99" s="22">
        <f t="shared" si="61"/>
        <v>0.25</v>
      </c>
      <c r="O99" s="21">
        <v>97</v>
      </c>
      <c r="P99" s="7">
        <f t="shared" ca="1" si="74"/>
        <v>0.5</v>
      </c>
      <c r="Q99" s="7">
        <f t="shared" ca="1" si="67"/>
        <v>0.5</v>
      </c>
      <c r="R99" s="7">
        <f t="shared" ca="1" si="64"/>
        <v>0.33333333333333331</v>
      </c>
      <c r="S99" s="7">
        <f t="shared" ca="1" si="65"/>
        <v>0.66666666666666663</v>
      </c>
    </row>
    <row r="100" spans="1:19" x14ac:dyDescent="0.15">
      <c r="A100" s="60">
        <v>50</v>
      </c>
      <c r="B100" s="21" t="s">
        <v>21</v>
      </c>
      <c r="C100" s="21">
        <f>[60]PARS_utr_stat!B100</f>
        <v>2</v>
      </c>
      <c r="D100" s="21">
        <f>[60]PARS_utr_stat!C100</f>
        <v>6</v>
      </c>
      <c r="E100" s="22">
        <f t="shared" ref="E100:F100" si="99">C100/(C100+C101)</f>
        <v>0.4</v>
      </c>
      <c r="F100" s="22">
        <f t="shared" si="99"/>
        <v>0.54545454545454541</v>
      </c>
      <c r="I100" s="60">
        <v>50</v>
      </c>
      <c r="J100" s="21" t="s">
        <v>21</v>
      </c>
      <c r="K100" s="22">
        <f t="shared" si="61"/>
        <v>0.4</v>
      </c>
      <c r="L100" s="22">
        <f t="shared" si="61"/>
        <v>0.54545454545454541</v>
      </c>
      <c r="O100" s="21">
        <v>98</v>
      </c>
      <c r="P100" s="7">
        <f t="shared" ca="1" si="74"/>
        <v>0.7</v>
      </c>
      <c r="Q100" s="7">
        <f t="shared" ca="1" si="67"/>
        <v>0.3</v>
      </c>
      <c r="R100" s="7">
        <f t="shared" ca="1" si="64"/>
        <v>0</v>
      </c>
      <c r="S100" s="7">
        <f t="shared" ca="1" si="65"/>
        <v>1</v>
      </c>
    </row>
    <row r="101" spans="1:19" x14ac:dyDescent="0.15">
      <c r="A101" s="60"/>
      <c r="B101" s="21" t="s">
        <v>22</v>
      </c>
      <c r="C101" s="21">
        <f>[60]PARS_utr_stat!B101</f>
        <v>3</v>
      </c>
      <c r="D101" s="21">
        <f>[60]PARS_utr_stat!C101</f>
        <v>5</v>
      </c>
      <c r="E101" s="22">
        <f t="shared" ref="E101:F101" si="100">C101/(C100+C101)</f>
        <v>0.6</v>
      </c>
      <c r="F101" s="22">
        <f t="shared" si="100"/>
        <v>0.45454545454545453</v>
      </c>
      <c r="I101" s="60"/>
      <c r="J101" s="21" t="s">
        <v>22</v>
      </c>
      <c r="K101" s="22">
        <f t="shared" si="61"/>
        <v>0.6</v>
      </c>
      <c r="L101" s="22">
        <f t="shared" si="61"/>
        <v>0.45454545454545453</v>
      </c>
      <c r="O101" s="21">
        <v>99</v>
      </c>
      <c r="P101" s="7">
        <f t="shared" ca="1" si="74"/>
        <v>0.66666666666666663</v>
      </c>
      <c r="Q101" s="7">
        <f t="shared" ca="1" si="67"/>
        <v>0.33333333333333331</v>
      </c>
      <c r="R101" s="7">
        <f t="shared" ca="1" si="64"/>
        <v>0.4</v>
      </c>
      <c r="S101" s="7">
        <f t="shared" ca="1" si="65"/>
        <v>0.6</v>
      </c>
    </row>
    <row r="102" spans="1:19" x14ac:dyDescent="0.15">
      <c r="A102" s="60">
        <v>51</v>
      </c>
      <c r="B102" s="21" t="s">
        <v>21</v>
      </c>
      <c r="C102" s="21">
        <f>[60]PARS_utr_stat!B102</f>
        <v>7</v>
      </c>
      <c r="D102" s="21">
        <f>[60]PARS_utr_stat!C102</f>
        <v>2</v>
      </c>
      <c r="E102" s="22">
        <f t="shared" ref="E102:F102" si="101">C102/(C102+C103)</f>
        <v>0.875</v>
      </c>
      <c r="F102" s="22">
        <f t="shared" si="101"/>
        <v>1</v>
      </c>
      <c r="I102" s="60">
        <v>51</v>
      </c>
      <c r="J102" s="21" t="s">
        <v>21</v>
      </c>
      <c r="K102" s="22">
        <f t="shared" si="61"/>
        <v>0.875</v>
      </c>
      <c r="L102" s="22">
        <f t="shared" si="61"/>
        <v>1</v>
      </c>
      <c r="O102" s="21">
        <v>100</v>
      </c>
      <c r="P102" s="7">
        <f t="shared" ca="1" si="74"/>
        <v>0.5</v>
      </c>
      <c r="Q102" s="7">
        <f t="shared" ca="1" si="67"/>
        <v>0.5</v>
      </c>
      <c r="R102" s="7">
        <f t="shared" ca="1" si="64"/>
        <v>0.2857142857142857</v>
      </c>
      <c r="S102" s="7">
        <f t="shared" ca="1" si="65"/>
        <v>0.7142857142857143</v>
      </c>
    </row>
    <row r="103" spans="1:19" x14ac:dyDescent="0.15">
      <c r="A103" s="60"/>
      <c r="B103" s="21" t="s">
        <v>22</v>
      </c>
      <c r="C103" s="21">
        <f>[60]PARS_utr_stat!B103</f>
        <v>1</v>
      </c>
      <c r="D103" s="21">
        <f>[60]PARS_utr_stat!C103</f>
        <v>0</v>
      </c>
      <c r="E103" s="22">
        <f t="shared" ref="E103:F103" si="102">C103/(C102+C103)</f>
        <v>0.125</v>
      </c>
      <c r="F103" s="22">
        <f t="shared" si="102"/>
        <v>0</v>
      </c>
      <c r="I103" s="60"/>
      <c r="J103" s="21" t="s">
        <v>22</v>
      </c>
      <c r="K103" s="22">
        <f t="shared" si="61"/>
        <v>0.125</v>
      </c>
      <c r="L103" s="22">
        <f t="shared" si="61"/>
        <v>0</v>
      </c>
      <c r="O103" s="21">
        <v>101</v>
      </c>
      <c r="P103" s="7">
        <f t="shared" ca="1" si="74"/>
        <v>0.8</v>
      </c>
      <c r="Q103" s="7">
        <f t="shared" ca="1" si="67"/>
        <v>0.2</v>
      </c>
      <c r="R103" s="7">
        <f t="shared" ca="1" si="64"/>
        <v>0.6</v>
      </c>
      <c r="S103" s="7">
        <f t="shared" ca="1" si="65"/>
        <v>0.4</v>
      </c>
    </row>
    <row r="104" spans="1:19" x14ac:dyDescent="0.15">
      <c r="A104" s="60">
        <v>52</v>
      </c>
      <c r="B104" s="21" t="s">
        <v>21</v>
      </c>
      <c r="C104" s="21">
        <f>[60]PARS_utr_stat!B104</f>
        <v>3</v>
      </c>
      <c r="D104" s="21">
        <f>[60]PARS_utr_stat!C104</f>
        <v>4</v>
      </c>
      <c r="E104" s="22">
        <f t="shared" ref="E104:F104" si="103">C104/(C104+C105)</f>
        <v>0.42857142857142855</v>
      </c>
      <c r="F104" s="22">
        <f t="shared" si="103"/>
        <v>0.66666666666666663</v>
      </c>
      <c r="I104" s="60">
        <v>52</v>
      </c>
      <c r="J104" s="21" t="s">
        <v>21</v>
      </c>
      <c r="K104" s="22">
        <f t="shared" si="61"/>
        <v>0.42857142857142855</v>
      </c>
      <c r="L104" s="22">
        <f t="shared" si="61"/>
        <v>0.66666666666666663</v>
      </c>
      <c r="O104" s="21">
        <v>102</v>
      </c>
      <c r="P104" s="7">
        <f t="shared" ca="1" si="74"/>
        <v>0.5625</v>
      </c>
      <c r="Q104" s="7">
        <f t="shared" ca="1" si="67"/>
        <v>0.4375</v>
      </c>
      <c r="R104" s="7">
        <f t="shared" ca="1" si="64"/>
        <v>0.5</v>
      </c>
      <c r="S104" s="7">
        <f t="shared" ca="1" si="65"/>
        <v>0.5</v>
      </c>
    </row>
    <row r="105" spans="1:19" x14ac:dyDescent="0.15">
      <c r="A105" s="60"/>
      <c r="B105" s="21" t="s">
        <v>22</v>
      </c>
      <c r="C105" s="21">
        <f>[60]PARS_utr_stat!B105</f>
        <v>4</v>
      </c>
      <c r="D105" s="21">
        <f>[60]PARS_utr_stat!C105</f>
        <v>2</v>
      </c>
      <c r="E105" s="22">
        <f t="shared" ref="E105:F105" si="104">C105/(C104+C105)</f>
        <v>0.5714285714285714</v>
      </c>
      <c r="F105" s="22">
        <f t="shared" si="104"/>
        <v>0.33333333333333331</v>
      </c>
      <c r="I105" s="60"/>
      <c r="J105" s="21" t="s">
        <v>22</v>
      </c>
      <c r="K105" s="22">
        <f t="shared" si="61"/>
        <v>0.5714285714285714</v>
      </c>
      <c r="L105" s="22">
        <f t="shared" si="61"/>
        <v>0.33333333333333331</v>
      </c>
      <c r="O105" s="21">
        <v>103</v>
      </c>
      <c r="P105" s="7">
        <f t="shared" ca="1" si="74"/>
        <v>0.5</v>
      </c>
      <c r="Q105" s="7">
        <f t="shared" ca="1" si="67"/>
        <v>0.5</v>
      </c>
      <c r="R105" s="7">
        <f t="shared" ca="1" si="64"/>
        <v>0.75</v>
      </c>
      <c r="S105" s="7">
        <f t="shared" ca="1" si="65"/>
        <v>0.25</v>
      </c>
    </row>
    <row r="106" spans="1:19" x14ac:dyDescent="0.15">
      <c r="A106" s="60">
        <v>53</v>
      </c>
      <c r="B106" s="21" t="s">
        <v>21</v>
      </c>
      <c r="C106" s="21">
        <f>[60]PARS_utr_stat!B106</f>
        <v>4</v>
      </c>
      <c r="D106" s="21">
        <f>[60]PARS_utr_stat!C106</f>
        <v>5</v>
      </c>
      <c r="E106" s="22">
        <f t="shared" ref="E106:F106" si="105">C106/(C106+C107)</f>
        <v>0.5714285714285714</v>
      </c>
      <c r="F106" s="22">
        <f t="shared" si="105"/>
        <v>0.7142857142857143</v>
      </c>
      <c r="I106" s="60">
        <v>53</v>
      </c>
      <c r="J106" s="21" t="s">
        <v>21</v>
      </c>
      <c r="K106" s="22">
        <f t="shared" si="61"/>
        <v>0.5714285714285714</v>
      </c>
      <c r="L106" s="22">
        <f t="shared" si="61"/>
        <v>0.7142857142857143</v>
      </c>
      <c r="O106" s="21">
        <v>104</v>
      </c>
      <c r="P106" s="7">
        <f t="shared" ca="1" si="74"/>
        <v>0.6</v>
      </c>
      <c r="Q106" s="7">
        <f t="shared" ca="1" si="67"/>
        <v>0.4</v>
      </c>
      <c r="R106" s="7">
        <f t="shared" ca="1" si="64"/>
        <v>0.25</v>
      </c>
      <c r="S106" s="7">
        <f t="shared" ca="1" si="65"/>
        <v>0.75</v>
      </c>
    </row>
    <row r="107" spans="1:19" x14ac:dyDescent="0.15">
      <c r="A107" s="60"/>
      <c r="B107" s="21" t="s">
        <v>22</v>
      </c>
      <c r="C107" s="21">
        <f>[60]PARS_utr_stat!B107</f>
        <v>3</v>
      </c>
      <c r="D107" s="21">
        <f>[60]PARS_utr_stat!C107</f>
        <v>2</v>
      </c>
      <c r="E107" s="22">
        <f t="shared" ref="E107:F107" si="106">C107/(C106+C107)</f>
        <v>0.42857142857142855</v>
      </c>
      <c r="F107" s="22">
        <f t="shared" si="106"/>
        <v>0.2857142857142857</v>
      </c>
      <c r="I107" s="60"/>
      <c r="J107" s="21" t="s">
        <v>22</v>
      </c>
      <c r="K107" s="22">
        <f t="shared" si="61"/>
        <v>0.42857142857142855</v>
      </c>
      <c r="L107" s="22">
        <f t="shared" si="61"/>
        <v>0.2857142857142857</v>
      </c>
      <c r="O107" s="21">
        <v>105</v>
      </c>
      <c r="P107" s="7">
        <f t="shared" ca="1" si="74"/>
        <v>0.8</v>
      </c>
      <c r="Q107" s="7">
        <f t="shared" ca="1" si="67"/>
        <v>0.2</v>
      </c>
      <c r="R107" s="7">
        <f t="shared" ca="1" si="64"/>
        <v>0.7142857142857143</v>
      </c>
      <c r="S107" s="7">
        <f t="shared" ca="1" si="65"/>
        <v>0.2857142857142857</v>
      </c>
    </row>
    <row r="108" spans="1:19" x14ac:dyDescent="0.15">
      <c r="A108" s="60">
        <v>54</v>
      </c>
      <c r="B108" s="21" t="s">
        <v>21</v>
      </c>
      <c r="C108" s="21">
        <f>[60]PARS_utr_stat!B108</f>
        <v>9</v>
      </c>
      <c r="D108" s="21">
        <f>[60]PARS_utr_stat!C108</f>
        <v>5</v>
      </c>
      <c r="E108" s="22">
        <f t="shared" ref="E108:F108" si="107">C108/(C108+C109)</f>
        <v>0.69230769230769229</v>
      </c>
      <c r="F108" s="22">
        <f t="shared" si="107"/>
        <v>1</v>
      </c>
      <c r="I108" s="60">
        <v>54</v>
      </c>
      <c r="J108" s="21" t="s">
        <v>21</v>
      </c>
      <c r="K108" s="22">
        <f t="shared" si="61"/>
        <v>0.69230769230769229</v>
      </c>
      <c r="L108" s="22">
        <f t="shared" si="61"/>
        <v>1</v>
      </c>
      <c r="O108" s="21">
        <v>106</v>
      </c>
      <c r="P108" s="7">
        <f t="shared" ca="1" si="74"/>
        <v>0</v>
      </c>
      <c r="Q108" s="7">
        <f t="shared" ca="1" si="67"/>
        <v>1</v>
      </c>
      <c r="R108" s="7">
        <f t="shared" ca="1" si="64"/>
        <v>0.5</v>
      </c>
      <c r="S108" s="7">
        <f t="shared" ca="1" si="65"/>
        <v>0.5</v>
      </c>
    </row>
    <row r="109" spans="1:19" x14ac:dyDescent="0.15">
      <c r="A109" s="60"/>
      <c r="B109" s="21" t="s">
        <v>22</v>
      </c>
      <c r="C109" s="21">
        <f>[60]PARS_utr_stat!B109</f>
        <v>4</v>
      </c>
      <c r="D109" s="21">
        <f>[60]PARS_utr_stat!C109</f>
        <v>0</v>
      </c>
      <c r="E109" s="22">
        <f t="shared" ref="E109:F109" si="108">C109/(C108+C109)</f>
        <v>0.30769230769230771</v>
      </c>
      <c r="F109" s="22">
        <f t="shared" si="108"/>
        <v>0</v>
      </c>
      <c r="I109" s="60"/>
      <c r="J109" s="21" t="s">
        <v>22</v>
      </c>
      <c r="K109" s="22">
        <f t="shared" si="61"/>
        <v>0.30769230769230771</v>
      </c>
      <c r="L109" s="22">
        <f t="shared" si="61"/>
        <v>0</v>
      </c>
      <c r="O109" s="21">
        <v>107</v>
      </c>
      <c r="P109" s="7">
        <f t="shared" ca="1" si="74"/>
        <v>0.5</v>
      </c>
      <c r="Q109" s="7">
        <f t="shared" ca="1" si="67"/>
        <v>0.5</v>
      </c>
      <c r="R109" s="7">
        <f t="shared" ca="1" si="64"/>
        <v>0.33333333333333331</v>
      </c>
      <c r="S109" s="7">
        <f t="shared" ca="1" si="65"/>
        <v>0.66666666666666663</v>
      </c>
    </row>
    <row r="110" spans="1:19" x14ac:dyDescent="0.15">
      <c r="A110" s="60">
        <v>55</v>
      </c>
      <c r="B110" s="21" t="s">
        <v>21</v>
      </c>
      <c r="C110" s="21">
        <f>[60]PARS_utr_stat!B110</f>
        <v>5</v>
      </c>
      <c r="D110" s="21">
        <f>[60]PARS_utr_stat!C110</f>
        <v>6</v>
      </c>
      <c r="E110" s="22">
        <f t="shared" ref="E110:F110" si="109">C110/(C110+C111)</f>
        <v>0.45454545454545453</v>
      </c>
      <c r="F110" s="22">
        <f t="shared" si="109"/>
        <v>0.5</v>
      </c>
      <c r="I110" s="60">
        <v>55</v>
      </c>
      <c r="J110" s="21" t="s">
        <v>21</v>
      </c>
      <c r="K110" s="22">
        <f t="shared" si="61"/>
        <v>0.45454545454545453</v>
      </c>
      <c r="L110" s="22">
        <f t="shared" si="61"/>
        <v>0.5</v>
      </c>
      <c r="O110" s="21">
        <v>108</v>
      </c>
      <c r="P110" s="7">
        <f t="shared" ca="1" si="74"/>
        <v>0.8</v>
      </c>
      <c r="Q110" s="7">
        <f t="shared" ca="1" si="67"/>
        <v>0.2</v>
      </c>
      <c r="R110" s="7">
        <f t="shared" ca="1" si="64"/>
        <v>1</v>
      </c>
      <c r="S110" s="7">
        <f t="shared" ca="1" si="65"/>
        <v>0</v>
      </c>
    </row>
    <row r="111" spans="1:19" x14ac:dyDescent="0.15">
      <c r="A111" s="60"/>
      <c r="B111" s="21" t="s">
        <v>22</v>
      </c>
      <c r="C111" s="21">
        <f>[60]PARS_utr_stat!B111</f>
        <v>6</v>
      </c>
      <c r="D111" s="21">
        <f>[60]PARS_utr_stat!C111</f>
        <v>6</v>
      </c>
      <c r="E111" s="22">
        <f t="shared" ref="E111:F111" si="110">C111/(C110+C111)</f>
        <v>0.54545454545454541</v>
      </c>
      <c r="F111" s="22">
        <f t="shared" si="110"/>
        <v>0.5</v>
      </c>
      <c r="I111" s="60"/>
      <c r="J111" s="21" t="s">
        <v>22</v>
      </c>
      <c r="K111" s="22">
        <f t="shared" si="61"/>
        <v>0.54545454545454541</v>
      </c>
      <c r="L111" s="22">
        <f t="shared" si="61"/>
        <v>0.5</v>
      </c>
      <c r="O111" s="21">
        <v>109</v>
      </c>
      <c r="P111" s="7">
        <f t="shared" ca="1" si="74"/>
        <v>0.77777777777777779</v>
      </c>
      <c r="Q111" s="7">
        <f t="shared" ca="1" si="67"/>
        <v>0.22222222222222221</v>
      </c>
      <c r="R111" s="7">
        <f t="shared" ca="1" si="64"/>
        <v>0.5</v>
      </c>
      <c r="S111" s="7">
        <f t="shared" ca="1" si="65"/>
        <v>0.5</v>
      </c>
    </row>
    <row r="112" spans="1:19" x14ac:dyDescent="0.15">
      <c r="A112" s="60">
        <v>56</v>
      </c>
      <c r="B112" s="21" t="s">
        <v>21</v>
      </c>
      <c r="C112" s="21">
        <f>[60]PARS_utr_stat!B112</f>
        <v>4</v>
      </c>
      <c r="D112" s="21">
        <f>[60]PARS_utr_stat!C112</f>
        <v>1</v>
      </c>
      <c r="E112" s="22">
        <f t="shared" ref="E112:F112" si="111">C112/(C112+C113)</f>
        <v>0.5</v>
      </c>
      <c r="F112" s="22">
        <f t="shared" si="111"/>
        <v>0.33333333333333331</v>
      </c>
      <c r="I112" s="60">
        <v>56</v>
      </c>
      <c r="J112" s="21" t="s">
        <v>21</v>
      </c>
      <c r="K112" s="22">
        <f t="shared" si="61"/>
        <v>0.5</v>
      </c>
      <c r="L112" s="22">
        <f t="shared" si="61"/>
        <v>0.33333333333333331</v>
      </c>
      <c r="O112" s="21">
        <v>110</v>
      </c>
      <c r="P112" s="7">
        <f t="shared" ca="1" si="74"/>
        <v>0.6</v>
      </c>
      <c r="Q112" s="7">
        <f t="shared" ca="1" si="67"/>
        <v>0.4</v>
      </c>
      <c r="R112" s="7">
        <f t="shared" ca="1" si="64"/>
        <v>1</v>
      </c>
      <c r="S112" s="7">
        <f t="shared" ca="1" si="65"/>
        <v>0</v>
      </c>
    </row>
    <row r="113" spans="1:19" x14ac:dyDescent="0.15">
      <c r="A113" s="60"/>
      <c r="B113" s="21" t="s">
        <v>22</v>
      </c>
      <c r="C113" s="21">
        <f>[60]PARS_utr_stat!B113</f>
        <v>4</v>
      </c>
      <c r="D113" s="21">
        <f>[60]PARS_utr_stat!C113</f>
        <v>2</v>
      </c>
      <c r="E113" s="22">
        <f t="shared" ref="E113:F113" si="112">C113/(C112+C113)</f>
        <v>0.5</v>
      </c>
      <c r="F113" s="22">
        <f t="shared" si="112"/>
        <v>0.66666666666666663</v>
      </c>
      <c r="I113" s="60"/>
      <c r="J113" s="21" t="s">
        <v>22</v>
      </c>
      <c r="K113" s="22">
        <f t="shared" si="61"/>
        <v>0.5</v>
      </c>
      <c r="L113" s="22">
        <f t="shared" si="61"/>
        <v>0.66666666666666663</v>
      </c>
      <c r="O113" s="21">
        <v>111</v>
      </c>
      <c r="P113" s="7">
        <f t="shared" ca="1" si="74"/>
        <v>0.75</v>
      </c>
      <c r="Q113" s="7">
        <f t="shared" ca="1" si="67"/>
        <v>0.25</v>
      </c>
      <c r="R113" s="7">
        <f t="shared" ca="1" si="64"/>
        <v>0.5714285714285714</v>
      </c>
      <c r="S113" s="7">
        <f t="shared" ca="1" si="65"/>
        <v>0.42857142857142855</v>
      </c>
    </row>
    <row r="114" spans="1:19" x14ac:dyDescent="0.15">
      <c r="A114" s="60">
        <v>57</v>
      </c>
      <c r="B114" s="21" t="s">
        <v>21</v>
      </c>
      <c r="C114" s="21">
        <f>[60]PARS_utr_stat!B114</f>
        <v>3</v>
      </c>
      <c r="D114" s="21">
        <f>[60]PARS_utr_stat!C114</f>
        <v>3</v>
      </c>
      <c r="E114" s="22">
        <f t="shared" ref="E114:F114" si="113">C114/(C114+C115)</f>
        <v>0.375</v>
      </c>
      <c r="F114" s="22">
        <f t="shared" si="113"/>
        <v>0.375</v>
      </c>
      <c r="I114" s="60">
        <v>57</v>
      </c>
      <c r="J114" s="21" t="s">
        <v>21</v>
      </c>
      <c r="K114" s="22">
        <f t="shared" si="61"/>
        <v>0.375</v>
      </c>
      <c r="L114" s="22">
        <f t="shared" si="61"/>
        <v>0.375</v>
      </c>
      <c r="O114" s="21">
        <v>112</v>
      </c>
      <c r="P114" s="7">
        <f t="shared" ca="1" si="74"/>
        <v>0.75</v>
      </c>
      <c r="Q114" s="7">
        <f t="shared" ca="1" si="67"/>
        <v>0.25</v>
      </c>
      <c r="R114" s="7">
        <f t="shared" ca="1" si="64"/>
        <v>0.5</v>
      </c>
      <c r="S114" s="7">
        <f t="shared" ca="1" si="65"/>
        <v>0.5</v>
      </c>
    </row>
    <row r="115" spans="1:19" x14ac:dyDescent="0.15">
      <c r="A115" s="60"/>
      <c r="B115" s="21" t="s">
        <v>22</v>
      </c>
      <c r="C115" s="21">
        <f>[60]PARS_utr_stat!B115</f>
        <v>5</v>
      </c>
      <c r="D115" s="21">
        <f>[60]PARS_utr_stat!C115</f>
        <v>5</v>
      </c>
      <c r="E115" s="22">
        <f t="shared" ref="E115:F115" si="114">C115/(C114+C115)</f>
        <v>0.625</v>
      </c>
      <c r="F115" s="22">
        <f t="shared" si="114"/>
        <v>0.625</v>
      </c>
      <c r="I115" s="60"/>
      <c r="J115" s="21" t="s">
        <v>22</v>
      </c>
      <c r="K115" s="22">
        <f t="shared" si="61"/>
        <v>0.625</v>
      </c>
      <c r="L115" s="22">
        <f t="shared" si="61"/>
        <v>0.625</v>
      </c>
      <c r="O115" s="21">
        <v>113</v>
      </c>
      <c r="P115" s="7">
        <f t="shared" ca="1" si="74"/>
        <v>0.625</v>
      </c>
      <c r="Q115" s="7">
        <f t="shared" ca="1" si="67"/>
        <v>0.375</v>
      </c>
      <c r="R115" s="7">
        <f t="shared" ca="1" si="64"/>
        <v>0.66666666666666663</v>
      </c>
      <c r="S115" s="7">
        <f t="shared" ca="1" si="65"/>
        <v>0.33333333333333331</v>
      </c>
    </row>
    <row r="116" spans="1:19" x14ac:dyDescent="0.15">
      <c r="A116" s="60">
        <v>58</v>
      </c>
      <c r="B116" s="21" t="s">
        <v>21</v>
      </c>
      <c r="C116" s="21">
        <f>[60]PARS_utr_stat!B116</f>
        <v>2</v>
      </c>
      <c r="D116" s="21">
        <f>[60]PARS_utr_stat!C116</f>
        <v>4</v>
      </c>
      <c r="E116" s="22">
        <f t="shared" ref="E116:F116" si="115">C116/(C116+C117)</f>
        <v>0.5</v>
      </c>
      <c r="F116" s="22">
        <f t="shared" si="115"/>
        <v>0.8</v>
      </c>
      <c r="I116" s="60">
        <v>58</v>
      </c>
      <c r="J116" s="21" t="s">
        <v>21</v>
      </c>
      <c r="K116" s="22">
        <f t="shared" si="61"/>
        <v>0.5</v>
      </c>
      <c r="L116" s="22">
        <f t="shared" si="61"/>
        <v>0.8</v>
      </c>
      <c r="O116" s="21">
        <v>114</v>
      </c>
      <c r="P116" s="7">
        <f t="shared" ca="1" si="74"/>
        <v>0.45454545454545453</v>
      </c>
      <c r="Q116" s="7">
        <f t="shared" ca="1" si="67"/>
        <v>0.54545454545454541</v>
      </c>
      <c r="R116" s="7">
        <f t="shared" ca="1" si="64"/>
        <v>0.6</v>
      </c>
      <c r="S116" s="7">
        <f t="shared" ca="1" si="65"/>
        <v>0.4</v>
      </c>
    </row>
    <row r="117" spans="1:19" x14ac:dyDescent="0.15">
      <c r="A117" s="60"/>
      <c r="B117" s="21" t="s">
        <v>22</v>
      </c>
      <c r="C117" s="21">
        <f>[60]PARS_utr_stat!B117</f>
        <v>2</v>
      </c>
      <c r="D117" s="21">
        <f>[60]PARS_utr_stat!C117</f>
        <v>1</v>
      </c>
      <c r="E117" s="22">
        <f t="shared" ref="E117:F117" si="116">C117/(C116+C117)</f>
        <v>0.5</v>
      </c>
      <c r="F117" s="22">
        <f t="shared" si="116"/>
        <v>0.2</v>
      </c>
      <c r="I117" s="60"/>
      <c r="J117" s="21" t="s">
        <v>22</v>
      </c>
      <c r="K117" s="22">
        <f t="shared" si="61"/>
        <v>0.5</v>
      </c>
      <c r="L117" s="22">
        <f t="shared" si="61"/>
        <v>0.2</v>
      </c>
      <c r="O117" s="21">
        <v>115</v>
      </c>
      <c r="P117" s="7">
        <f t="shared" ca="1" si="74"/>
        <v>0.25</v>
      </c>
      <c r="Q117" s="7">
        <f t="shared" ca="1" si="67"/>
        <v>0.75</v>
      </c>
      <c r="R117" s="7">
        <f t="shared" ca="1" si="64"/>
        <v>0.5</v>
      </c>
      <c r="S117" s="7">
        <f t="shared" ca="1" si="65"/>
        <v>0.5</v>
      </c>
    </row>
    <row r="118" spans="1:19" x14ac:dyDescent="0.15">
      <c r="A118" s="60">
        <v>59</v>
      </c>
      <c r="B118" s="21" t="s">
        <v>21</v>
      </c>
      <c r="C118" s="21">
        <f>[60]PARS_utr_stat!B118</f>
        <v>5</v>
      </c>
      <c r="D118" s="21">
        <f>[60]PARS_utr_stat!C118</f>
        <v>3</v>
      </c>
      <c r="E118" s="22">
        <f t="shared" ref="E118:F118" si="117">C118/(C118+C119)</f>
        <v>0.83333333333333337</v>
      </c>
      <c r="F118" s="22">
        <f t="shared" si="117"/>
        <v>0.375</v>
      </c>
      <c r="I118" s="60">
        <v>59</v>
      </c>
      <c r="J118" s="21" t="s">
        <v>21</v>
      </c>
      <c r="K118" s="22">
        <f t="shared" si="61"/>
        <v>0.83333333333333337</v>
      </c>
      <c r="L118" s="22">
        <f t="shared" si="61"/>
        <v>0.375</v>
      </c>
      <c r="O118" s="21">
        <v>116</v>
      </c>
      <c r="P118" s="7">
        <f t="shared" ca="1" si="74"/>
        <v>0.5</v>
      </c>
      <c r="Q118" s="7">
        <f t="shared" ca="1" si="67"/>
        <v>0.5</v>
      </c>
      <c r="R118" s="7">
        <f t="shared" ca="1" si="64"/>
        <v>0.83333333333333337</v>
      </c>
      <c r="S118" s="7">
        <f t="shared" ca="1" si="65"/>
        <v>0.16666666666666666</v>
      </c>
    </row>
    <row r="119" spans="1:19" x14ac:dyDescent="0.15">
      <c r="A119" s="60"/>
      <c r="B119" s="21" t="s">
        <v>22</v>
      </c>
      <c r="C119" s="21">
        <f>[60]PARS_utr_stat!B119</f>
        <v>1</v>
      </c>
      <c r="D119" s="21">
        <f>[60]PARS_utr_stat!C119</f>
        <v>5</v>
      </c>
      <c r="E119" s="22">
        <f t="shared" ref="E119:F119" si="118">C119/(C118+C119)</f>
        <v>0.16666666666666666</v>
      </c>
      <c r="F119" s="22">
        <f t="shared" si="118"/>
        <v>0.625</v>
      </c>
      <c r="I119" s="60"/>
      <c r="J119" s="21" t="s">
        <v>22</v>
      </c>
      <c r="K119" s="22">
        <f t="shared" si="61"/>
        <v>0.16666666666666666</v>
      </c>
      <c r="L119" s="22">
        <f t="shared" si="61"/>
        <v>0.625</v>
      </c>
      <c r="O119" s="21">
        <v>117</v>
      </c>
      <c r="P119" s="7">
        <f t="shared" ca="1" si="74"/>
        <v>0.66666666666666663</v>
      </c>
      <c r="Q119" s="7">
        <f t="shared" ca="1" si="67"/>
        <v>0.33333333333333331</v>
      </c>
      <c r="R119" s="7">
        <f t="shared" ca="1" si="64"/>
        <v>0.55555555555555558</v>
      </c>
      <c r="S119" s="7">
        <f t="shared" ca="1" si="65"/>
        <v>0.44444444444444442</v>
      </c>
    </row>
    <row r="120" spans="1:19" x14ac:dyDescent="0.15">
      <c r="A120" s="60">
        <v>60</v>
      </c>
      <c r="B120" s="21" t="s">
        <v>21</v>
      </c>
      <c r="C120" s="21">
        <f>[60]PARS_utr_stat!B120</f>
        <v>2</v>
      </c>
      <c r="D120" s="21">
        <f>[60]PARS_utr_stat!C120</f>
        <v>1</v>
      </c>
      <c r="E120" s="22">
        <f t="shared" ref="E120:F120" si="119">C120/(C120+C121)</f>
        <v>0.22222222222222221</v>
      </c>
      <c r="F120" s="22">
        <f t="shared" si="119"/>
        <v>0.25</v>
      </c>
      <c r="I120" s="60">
        <v>60</v>
      </c>
      <c r="J120" s="21" t="s">
        <v>21</v>
      </c>
      <c r="K120" s="22">
        <f t="shared" si="61"/>
        <v>0.22222222222222221</v>
      </c>
      <c r="L120" s="22">
        <f t="shared" si="61"/>
        <v>0.25</v>
      </c>
      <c r="O120" s="21">
        <v>118</v>
      </c>
      <c r="P120" s="7">
        <f t="shared" ca="1" si="74"/>
        <v>0.4375</v>
      </c>
      <c r="Q120" s="7">
        <f t="shared" ca="1" si="67"/>
        <v>0.5625</v>
      </c>
      <c r="R120" s="7">
        <f t="shared" ca="1" si="64"/>
        <v>0.6</v>
      </c>
      <c r="S120" s="7">
        <f t="shared" ca="1" si="65"/>
        <v>0.4</v>
      </c>
    </row>
    <row r="121" spans="1:19" x14ac:dyDescent="0.15">
      <c r="A121" s="60"/>
      <c r="B121" s="21" t="s">
        <v>22</v>
      </c>
      <c r="C121" s="21">
        <f>[60]PARS_utr_stat!B121</f>
        <v>7</v>
      </c>
      <c r="D121" s="21">
        <f>[60]PARS_utr_stat!C121</f>
        <v>3</v>
      </c>
      <c r="E121" s="22">
        <f t="shared" ref="E121:F121" si="120">C121/(C120+C121)</f>
        <v>0.77777777777777779</v>
      </c>
      <c r="F121" s="22">
        <f t="shared" si="120"/>
        <v>0.75</v>
      </c>
      <c r="I121" s="60"/>
      <c r="J121" s="21" t="s">
        <v>22</v>
      </c>
      <c r="K121" s="22">
        <f t="shared" si="61"/>
        <v>0.77777777777777779</v>
      </c>
      <c r="L121" s="22">
        <f t="shared" si="61"/>
        <v>0.75</v>
      </c>
      <c r="O121" s="21">
        <v>119</v>
      </c>
      <c r="P121" s="7">
        <f t="shared" ca="1" si="74"/>
        <v>0.57692307692307687</v>
      </c>
      <c r="Q121" s="7">
        <f t="shared" ca="1" si="67"/>
        <v>0.42307692307692307</v>
      </c>
      <c r="R121" s="7">
        <f t="shared" ca="1" si="64"/>
        <v>0.77777777777777779</v>
      </c>
      <c r="S121" s="7">
        <f t="shared" ca="1" si="65"/>
        <v>0.22222222222222221</v>
      </c>
    </row>
    <row r="122" spans="1:19" x14ac:dyDescent="0.15">
      <c r="A122" s="60">
        <v>61</v>
      </c>
      <c r="B122" s="21" t="s">
        <v>21</v>
      </c>
      <c r="C122" s="21">
        <f>[60]PARS_utr_stat!B122</f>
        <v>5</v>
      </c>
      <c r="D122" s="21">
        <f>[60]PARS_utr_stat!C122</f>
        <v>1</v>
      </c>
      <c r="E122" s="22">
        <f t="shared" ref="E122:F122" si="121">C122/(C122+C123)</f>
        <v>0.55555555555555558</v>
      </c>
      <c r="F122" s="22">
        <f t="shared" si="121"/>
        <v>0.5</v>
      </c>
      <c r="I122" s="60">
        <v>61</v>
      </c>
      <c r="J122" s="21" t="s">
        <v>21</v>
      </c>
      <c r="K122" s="22">
        <f t="shared" si="61"/>
        <v>0.55555555555555558</v>
      </c>
      <c r="L122" s="22">
        <f t="shared" si="61"/>
        <v>0.5</v>
      </c>
      <c r="O122" s="21">
        <v>120</v>
      </c>
      <c r="P122" s="7">
        <f t="shared" ca="1" si="74"/>
        <v>0.75</v>
      </c>
      <c r="Q122" s="7">
        <f t="shared" ca="1" si="67"/>
        <v>0.25</v>
      </c>
      <c r="R122" s="7">
        <f t="shared" ca="1" si="64"/>
        <v>0.8</v>
      </c>
      <c r="S122" s="7">
        <f t="shared" ca="1" si="65"/>
        <v>0.2</v>
      </c>
    </row>
    <row r="123" spans="1:19" x14ac:dyDescent="0.15">
      <c r="A123" s="60"/>
      <c r="B123" s="21" t="s">
        <v>22</v>
      </c>
      <c r="C123" s="21">
        <f>[60]PARS_utr_stat!B123</f>
        <v>4</v>
      </c>
      <c r="D123" s="21">
        <f>[60]PARS_utr_stat!C123</f>
        <v>1</v>
      </c>
      <c r="E123" s="22">
        <f t="shared" ref="E123:F123" si="122">C123/(C122+C123)</f>
        <v>0.44444444444444442</v>
      </c>
      <c r="F123" s="22">
        <f t="shared" si="122"/>
        <v>0.5</v>
      </c>
      <c r="I123" s="60"/>
      <c r="J123" s="21" t="s">
        <v>22</v>
      </c>
      <c r="K123" s="22">
        <f t="shared" si="61"/>
        <v>0.44444444444444442</v>
      </c>
      <c r="L123" s="22">
        <f t="shared" si="61"/>
        <v>0.5</v>
      </c>
      <c r="O123" s="21">
        <v>121</v>
      </c>
      <c r="P123" s="7">
        <f t="shared" ca="1" si="74"/>
        <v>0.45454545454545453</v>
      </c>
      <c r="Q123" s="7">
        <f t="shared" ca="1" si="67"/>
        <v>0.54545454545454541</v>
      </c>
      <c r="R123" s="7">
        <f t="shared" ca="1" si="64"/>
        <v>0.42857142857142855</v>
      </c>
      <c r="S123" s="7">
        <f t="shared" ca="1" si="65"/>
        <v>0.5714285714285714</v>
      </c>
    </row>
    <row r="124" spans="1:19" x14ac:dyDescent="0.15">
      <c r="A124" s="60">
        <v>62</v>
      </c>
      <c r="B124" s="21" t="s">
        <v>21</v>
      </c>
      <c r="C124" s="21">
        <f>[60]PARS_utr_stat!B124</f>
        <v>3</v>
      </c>
      <c r="D124" s="21">
        <f>[60]PARS_utr_stat!C124</f>
        <v>5</v>
      </c>
      <c r="E124" s="22">
        <f t="shared" ref="E124:F124" si="123">C124/(C124+C125)</f>
        <v>0.5</v>
      </c>
      <c r="F124" s="22">
        <f t="shared" si="123"/>
        <v>0.83333333333333337</v>
      </c>
      <c r="I124" s="60">
        <v>62</v>
      </c>
      <c r="J124" s="21" t="s">
        <v>21</v>
      </c>
      <c r="K124" s="22">
        <f t="shared" si="61"/>
        <v>0.5</v>
      </c>
      <c r="L124" s="22">
        <f t="shared" si="61"/>
        <v>0.83333333333333337</v>
      </c>
      <c r="O124" s="21">
        <v>122</v>
      </c>
      <c r="P124" s="7">
        <f t="shared" ca="1" si="74"/>
        <v>0.69230769230769229</v>
      </c>
      <c r="Q124" s="7">
        <f t="shared" ca="1" si="67"/>
        <v>0.30769230769230771</v>
      </c>
      <c r="R124" s="7">
        <f t="shared" ca="1" si="64"/>
        <v>0.7142857142857143</v>
      </c>
      <c r="S124" s="7">
        <f t="shared" ca="1" si="65"/>
        <v>0.2857142857142857</v>
      </c>
    </row>
    <row r="125" spans="1:19" x14ac:dyDescent="0.15">
      <c r="A125" s="60"/>
      <c r="B125" s="21" t="s">
        <v>22</v>
      </c>
      <c r="C125" s="21">
        <f>[60]PARS_utr_stat!B125</f>
        <v>3</v>
      </c>
      <c r="D125" s="21">
        <f>[60]PARS_utr_stat!C125</f>
        <v>1</v>
      </c>
      <c r="E125" s="22">
        <f t="shared" ref="E125:F125" si="124">C125/(C124+C125)</f>
        <v>0.5</v>
      </c>
      <c r="F125" s="22">
        <f t="shared" si="124"/>
        <v>0.16666666666666666</v>
      </c>
      <c r="I125" s="60"/>
      <c r="J125" s="21" t="s">
        <v>22</v>
      </c>
      <c r="K125" s="22">
        <f t="shared" si="61"/>
        <v>0.5</v>
      </c>
      <c r="L125" s="22">
        <f t="shared" si="61"/>
        <v>0.16666666666666666</v>
      </c>
      <c r="O125" s="21">
        <v>123</v>
      </c>
      <c r="P125" s="7">
        <f t="shared" ca="1" si="74"/>
        <v>0.77777777777777779</v>
      </c>
      <c r="Q125" s="7">
        <f t="shared" ca="1" si="67"/>
        <v>0.22222222222222221</v>
      </c>
      <c r="R125" s="7">
        <f t="shared" ca="1" si="64"/>
        <v>0.4</v>
      </c>
      <c r="S125" s="7">
        <f t="shared" ca="1" si="65"/>
        <v>0.6</v>
      </c>
    </row>
    <row r="126" spans="1:19" x14ac:dyDescent="0.15">
      <c r="A126" s="60">
        <v>63</v>
      </c>
      <c r="B126" s="21" t="s">
        <v>21</v>
      </c>
      <c r="C126" s="21">
        <f>[60]PARS_utr_stat!B126</f>
        <v>3</v>
      </c>
      <c r="D126" s="21">
        <f>[60]PARS_utr_stat!C126</f>
        <v>5</v>
      </c>
      <c r="E126" s="22">
        <f t="shared" ref="E126:F126" si="125">C126/(C126+C127)</f>
        <v>0.33333333333333331</v>
      </c>
      <c r="F126" s="22">
        <f t="shared" si="125"/>
        <v>0.83333333333333337</v>
      </c>
      <c r="I126" s="60">
        <v>63</v>
      </c>
      <c r="J126" s="21" t="s">
        <v>21</v>
      </c>
      <c r="K126" s="22">
        <f t="shared" si="61"/>
        <v>0.33333333333333331</v>
      </c>
      <c r="L126" s="22">
        <f t="shared" si="61"/>
        <v>0.83333333333333337</v>
      </c>
      <c r="O126" s="21">
        <v>124</v>
      </c>
      <c r="P126" s="7">
        <f t="shared" ca="1" si="74"/>
        <v>0.80952380952380953</v>
      </c>
      <c r="Q126" s="7">
        <f t="shared" ca="1" si="67"/>
        <v>0.19047619047619047</v>
      </c>
      <c r="R126" s="7">
        <f t="shared" ca="1" si="64"/>
        <v>0.46153846153846156</v>
      </c>
      <c r="S126" s="7">
        <f t="shared" ca="1" si="65"/>
        <v>0.53846153846153844</v>
      </c>
    </row>
    <row r="127" spans="1:19" x14ac:dyDescent="0.15">
      <c r="A127" s="60"/>
      <c r="B127" s="21" t="s">
        <v>22</v>
      </c>
      <c r="C127" s="21">
        <f>[60]PARS_utr_stat!B127</f>
        <v>6</v>
      </c>
      <c r="D127" s="21">
        <f>[60]PARS_utr_stat!C127</f>
        <v>1</v>
      </c>
      <c r="E127" s="22">
        <f t="shared" ref="E127:F127" si="126">C127/(C126+C127)</f>
        <v>0.66666666666666663</v>
      </c>
      <c r="F127" s="22">
        <f t="shared" si="126"/>
        <v>0.16666666666666666</v>
      </c>
      <c r="I127" s="60"/>
      <c r="J127" s="21" t="s">
        <v>22</v>
      </c>
      <c r="K127" s="22">
        <f t="shared" si="61"/>
        <v>0.66666666666666663</v>
      </c>
      <c r="L127" s="22">
        <f t="shared" si="61"/>
        <v>0.16666666666666666</v>
      </c>
      <c r="O127" s="21">
        <v>125</v>
      </c>
      <c r="P127" s="7">
        <f t="shared" ca="1" si="74"/>
        <v>0.78787878787878785</v>
      </c>
      <c r="Q127" s="7">
        <f t="shared" ca="1" si="67"/>
        <v>0.21212121212121213</v>
      </c>
      <c r="R127" s="7">
        <f t="shared" ca="1" si="64"/>
        <v>0.52941176470588236</v>
      </c>
      <c r="S127" s="7">
        <f t="shared" ca="1" si="65"/>
        <v>0.47058823529411764</v>
      </c>
    </row>
    <row r="128" spans="1:19" x14ac:dyDescent="0.15">
      <c r="A128" s="60">
        <v>64</v>
      </c>
      <c r="B128" s="21" t="s">
        <v>21</v>
      </c>
      <c r="C128" s="21">
        <f>[60]PARS_utr_stat!B128</f>
        <v>2</v>
      </c>
      <c r="D128" s="21">
        <f>[60]PARS_utr_stat!C128</f>
        <v>2</v>
      </c>
      <c r="E128" s="22">
        <f t="shared" ref="E128:F128" si="127">C128/(C128+C129)</f>
        <v>0.33333333333333331</v>
      </c>
      <c r="F128" s="22">
        <f t="shared" si="127"/>
        <v>0.66666666666666663</v>
      </c>
      <c r="I128" s="60">
        <v>64</v>
      </c>
      <c r="J128" s="21" t="s">
        <v>21</v>
      </c>
      <c r="K128" s="22">
        <f t="shared" si="61"/>
        <v>0.33333333333333331</v>
      </c>
      <c r="L128" s="22">
        <f t="shared" si="61"/>
        <v>0.66666666666666663</v>
      </c>
      <c r="O128" s="21">
        <v>126</v>
      </c>
      <c r="P128" s="7">
        <f t="shared" ca="1" si="74"/>
        <v>0.48648648648648651</v>
      </c>
      <c r="Q128" s="7">
        <f t="shared" ca="1" si="67"/>
        <v>0.51351351351351349</v>
      </c>
      <c r="R128" s="7">
        <f t="shared" ca="1" si="64"/>
        <v>0.6875</v>
      </c>
      <c r="S128" s="7">
        <f t="shared" ca="1" si="65"/>
        <v>0.3125</v>
      </c>
    </row>
    <row r="129" spans="1:19" x14ac:dyDescent="0.15">
      <c r="A129" s="60"/>
      <c r="B129" s="21" t="s">
        <v>22</v>
      </c>
      <c r="C129" s="21">
        <f>[60]PARS_utr_stat!B129</f>
        <v>4</v>
      </c>
      <c r="D129" s="21">
        <f>[60]PARS_utr_stat!C129</f>
        <v>1</v>
      </c>
      <c r="E129" s="22">
        <f t="shared" ref="E129:F129" si="128">C129/(C128+C129)</f>
        <v>0.66666666666666663</v>
      </c>
      <c r="F129" s="22">
        <f t="shared" si="128"/>
        <v>0.33333333333333331</v>
      </c>
      <c r="I129" s="60"/>
      <c r="J129" s="21" t="s">
        <v>22</v>
      </c>
      <c r="K129" s="22">
        <f t="shared" si="61"/>
        <v>0.66666666666666663</v>
      </c>
      <c r="L129" s="22">
        <f t="shared" si="61"/>
        <v>0.33333333333333331</v>
      </c>
      <c r="O129" s="21">
        <v>127</v>
      </c>
      <c r="P129" s="7">
        <f t="shared" ca="1" si="74"/>
        <v>0.51724137931034486</v>
      </c>
      <c r="Q129" s="7">
        <f t="shared" ca="1" si="67"/>
        <v>0.48275862068965519</v>
      </c>
      <c r="R129" s="7">
        <f t="shared" ca="1" si="64"/>
        <v>0.6</v>
      </c>
      <c r="S129" s="7">
        <f t="shared" ca="1" si="65"/>
        <v>0.4</v>
      </c>
    </row>
    <row r="130" spans="1:19" x14ac:dyDescent="0.15">
      <c r="A130" s="60">
        <v>65</v>
      </c>
      <c r="B130" s="21" t="s">
        <v>21</v>
      </c>
      <c r="C130" s="21">
        <f>[60]PARS_utr_stat!B130</f>
        <v>4</v>
      </c>
      <c r="D130" s="21">
        <f>[60]PARS_utr_stat!C130</f>
        <v>3</v>
      </c>
      <c r="E130" s="22">
        <f t="shared" ref="E130:F130" si="129">C130/(C130+C131)</f>
        <v>0.5714285714285714</v>
      </c>
      <c r="F130" s="22">
        <f t="shared" si="129"/>
        <v>0.75</v>
      </c>
      <c r="I130" s="60">
        <v>65</v>
      </c>
      <c r="J130" s="21" t="s">
        <v>21</v>
      </c>
      <c r="K130" s="22">
        <f t="shared" ref="K130:L193" si="130">E130</f>
        <v>0.5714285714285714</v>
      </c>
      <c r="L130" s="22">
        <f t="shared" si="130"/>
        <v>0.75</v>
      </c>
    </row>
    <row r="131" spans="1:19" x14ac:dyDescent="0.15">
      <c r="A131" s="60"/>
      <c r="B131" s="21" t="s">
        <v>22</v>
      </c>
      <c r="C131" s="21">
        <f>[60]PARS_utr_stat!B131</f>
        <v>3</v>
      </c>
      <c r="D131" s="21">
        <f>[60]PARS_utr_stat!C131</f>
        <v>1</v>
      </c>
      <c r="E131" s="22">
        <f t="shared" ref="E131:F131" si="131">C131/(C130+C131)</f>
        <v>0.42857142857142855</v>
      </c>
      <c r="F131" s="22">
        <f t="shared" si="131"/>
        <v>0.25</v>
      </c>
      <c r="I131" s="60"/>
      <c r="J131" s="21" t="s">
        <v>22</v>
      </c>
      <c r="K131" s="22">
        <f t="shared" si="130"/>
        <v>0.42857142857142855</v>
      </c>
      <c r="L131" s="22">
        <f t="shared" si="130"/>
        <v>0.25</v>
      </c>
    </row>
    <row r="132" spans="1:19" x14ac:dyDescent="0.15">
      <c r="A132" s="60">
        <v>66</v>
      </c>
      <c r="B132" s="21" t="s">
        <v>21</v>
      </c>
      <c r="C132" s="21">
        <f>[60]PARS_utr_stat!B132</f>
        <v>4</v>
      </c>
      <c r="D132" s="21">
        <f>[60]PARS_utr_stat!C132</f>
        <v>4</v>
      </c>
      <c r="E132" s="22">
        <f t="shared" ref="E132:F132" si="132">C132/(C132+C133)</f>
        <v>0.8</v>
      </c>
      <c r="F132" s="22">
        <f t="shared" si="132"/>
        <v>0.4</v>
      </c>
      <c r="I132" s="60">
        <v>66</v>
      </c>
      <c r="J132" s="21" t="s">
        <v>21</v>
      </c>
      <c r="K132" s="22">
        <f t="shared" si="130"/>
        <v>0.8</v>
      </c>
      <c r="L132" s="22">
        <f t="shared" si="130"/>
        <v>0.4</v>
      </c>
    </row>
    <row r="133" spans="1:19" x14ac:dyDescent="0.15">
      <c r="A133" s="60"/>
      <c r="B133" s="21" t="s">
        <v>22</v>
      </c>
      <c r="C133" s="21">
        <f>[60]PARS_utr_stat!B133</f>
        <v>1</v>
      </c>
      <c r="D133" s="21">
        <f>[60]PARS_utr_stat!C133</f>
        <v>6</v>
      </c>
      <c r="E133" s="22">
        <f t="shared" ref="E133:F133" si="133">C133/(C132+C133)</f>
        <v>0.2</v>
      </c>
      <c r="F133" s="22">
        <f t="shared" si="133"/>
        <v>0.6</v>
      </c>
      <c r="I133" s="60"/>
      <c r="J133" s="21" t="s">
        <v>22</v>
      </c>
      <c r="K133" s="22">
        <f t="shared" si="130"/>
        <v>0.2</v>
      </c>
      <c r="L133" s="22">
        <f t="shared" si="130"/>
        <v>0.6</v>
      </c>
      <c r="P133" s="24"/>
      <c r="Q133" s="24"/>
      <c r="R133" s="24"/>
      <c r="S133" s="24"/>
    </row>
    <row r="134" spans="1:19" x14ac:dyDescent="0.15">
      <c r="A134" s="60">
        <v>67</v>
      </c>
      <c r="B134" s="21" t="s">
        <v>21</v>
      </c>
      <c r="C134" s="21">
        <f>[60]PARS_utr_stat!B134</f>
        <v>5</v>
      </c>
      <c r="D134" s="21">
        <f>[60]PARS_utr_stat!C134</f>
        <v>5</v>
      </c>
      <c r="E134" s="22">
        <f t="shared" ref="E134:F134" si="134">C134/(C134+C135)</f>
        <v>0.55555555555555558</v>
      </c>
      <c r="F134" s="22">
        <f t="shared" si="134"/>
        <v>0.55555555555555558</v>
      </c>
      <c r="I134" s="60">
        <v>67</v>
      </c>
      <c r="J134" s="21" t="s">
        <v>21</v>
      </c>
      <c r="K134" s="22">
        <f t="shared" si="130"/>
        <v>0.55555555555555558</v>
      </c>
      <c r="L134" s="22">
        <f t="shared" si="130"/>
        <v>0.55555555555555558</v>
      </c>
      <c r="P134" s="24"/>
      <c r="Q134" s="24"/>
      <c r="R134" s="24"/>
      <c r="S134" s="24"/>
    </row>
    <row r="135" spans="1:19" x14ac:dyDescent="0.15">
      <c r="A135" s="60"/>
      <c r="B135" s="21" t="s">
        <v>22</v>
      </c>
      <c r="C135" s="21">
        <f>[60]PARS_utr_stat!B135</f>
        <v>4</v>
      </c>
      <c r="D135" s="21">
        <f>[60]PARS_utr_stat!C135</f>
        <v>4</v>
      </c>
      <c r="E135" s="22">
        <f t="shared" ref="E135:F135" si="135">C135/(C134+C135)</f>
        <v>0.44444444444444442</v>
      </c>
      <c r="F135" s="22">
        <f t="shared" si="135"/>
        <v>0.44444444444444442</v>
      </c>
      <c r="I135" s="60"/>
      <c r="J135" s="21" t="s">
        <v>22</v>
      </c>
      <c r="K135" s="22">
        <f t="shared" si="130"/>
        <v>0.44444444444444442</v>
      </c>
      <c r="L135" s="22">
        <f t="shared" si="130"/>
        <v>0.44444444444444442</v>
      </c>
      <c r="P135" s="24"/>
      <c r="Q135" s="24"/>
      <c r="R135" s="24"/>
      <c r="S135" s="24"/>
    </row>
    <row r="136" spans="1:19" x14ac:dyDescent="0.15">
      <c r="A136" s="60">
        <v>68</v>
      </c>
      <c r="B136" s="21" t="s">
        <v>21</v>
      </c>
      <c r="C136" s="21">
        <f>[60]PARS_utr_stat!B136</f>
        <v>0</v>
      </c>
      <c r="D136" s="21">
        <f>[60]PARS_utr_stat!C136</f>
        <v>2</v>
      </c>
      <c r="E136" s="22">
        <f t="shared" ref="E136:F136" si="136">C136/(C136+C137)</f>
        <v>0</v>
      </c>
      <c r="F136" s="22">
        <f t="shared" si="136"/>
        <v>0.66666666666666663</v>
      </c>
      <c r="I136" s="60">
        <v>68</v>
      </c>
      <c r="J136" s="21" t="s">
        <v>21</v>
      </c>
      <c r="K136" s="22">
        <f t="shared" si="130"/>
        <v>0</v>
      </c>
      <c r="L136" s="22">
        <f t="shared" si="130"/>
        <v>0.66666666666666663</v>
      </c>
      <c r="P136" s="24"/>
      <c r="Q136" s="24"/>
      <c r="R136" s="24"/>
      <c r="S136" s="24"/>
    </row>
    <row r="137" spans="1:19" x14ac:dyDescent="0.15">
      <c r="A137" s="60"/>
      <c r="B137" s="21" t="s">
        <v>22</v>
      </c>
      <c r="C137" s="21">
        <f>[60]PARS_utr_stat!B137</f>
        <v>2</v>
      </c>
      <c r="D137" s="21">
        <f>[60]PARS_utr_stat!C137</f>
        <v>1</v>
      </c>
      <c r="E137" s="22">
        <f t="shared" ref="E137:F137" si="137">C137/(C136+C137)</f>
        <v>1</v>
      </c>
      <c r="F137" s="22">
        <f t="shared" si="137"/>
        <v>0.33333333333333331</v>
      </c>
      <c r="I137" s="60"/>
      <c r="J137" s="21" t="s">
        <v>22</v>
      </c>
      <c r="K137" s="22">
        <f t="shared" si="130"/>
        <v>1</v>
      </c>
      <c r="L137" s="22">
        <f t="shared" si="130"/>
        <v>0.33333333333333331</v>
      </c>
      <c r="P137" s="24"/>
      <c r="Q137" s="24"/>
      <c r="R137" s="24"/>
      <c r="S137" s="24"/>
    </row>
    <row r="138" spans="1:19" x14ac:dyDescent="0.15">
      <c r="A138" s="60">
        <v>69</v>
      </c>
      <c r="B138" s="21" t="s">
        <v>21</v>
      </c>
      <c r="C138" s="21">
        <f>[60]PARS_utr_stat!B138</f>
        <v>1</v>
      </c>
      <c r="D138" s="21">
        <f>[60]PARS_utr_stat!C138</f>
        <v>2</v>
      </c>
      <c r="E138" s="22">
        <f t="shared" ref="E138:F138" si="138">C138/(C138+C139)</f>
        <v>0.25</v>
      </c>
      <c r="F138" s="22">
        <f t="shared" si="138"/>
        <v>0.4</v>
      </c>
      <c r="I138" s="60">
        <v>69</v>
      </c>
      <c r="J138" s="21" t="s">
        <v>21</v>
      </c>
      <c r="K138" s="22">
        <f t="shared" si="130"/>
        <v>0.25</v>
      </c>
      <c r="L138" s="22">
        <f t="shared" si="130"/>
        <v>0.4</v>
      </c>
      <c r="P138" s="24"/>
      <c r="Q138" s="24"/>
      <c r="R138" s="24"/>
      <c r="S138" s="24"/>
    </row>
    <row r="139" spans="1:19" x14ac:dyDescent="0.15">
      <c r="A139" s="60"/>
      <c r="B139" s="21" t="s">
        <v>22</v>
      </c>
      <c r="C139" s="21">
        <f>[60]PARS_utr_stat!B139</f>
        <v>3</v>
      </c>
      <c r="D139" s="21">
        <f>[60]PARS_utr_stat!C139</f>
        <v>3</v>
      </c>
      <c r="E139" s="22">
        <f t="shared" ref="E139:F139" si="139">C139/(C138+C139)</f>
        <v>0.75</v>
      </c>
      <c r="F139" s="22">
        <f t="shared" si="139"/>
        <v>0.6</v>
      </c>
      <c r="I139" s="60"/>
      <c r="J139" s="21" t="s">
        <v>22</v>
      </c>
      <c r="K139" s="22">
        <f t="shared" si="130"/>
        <v>0.75</v>
      </c>
      <c r="L139" s="22">
        <f t="shared" si="130"/>
        <v>0.6</v>
      </c>
      <c r="P139" s="24"/>
      <c r="Q139" s="24"/>
      <c r="R139" s="24"/>
      <c r="S139" s="24"/>
    </row>
    <row r="140" spans="1:19" x14ac:dyDescent="0.15">
      <c r="A140" s="60">
        <v>70</v>
      </c>
      <c r="B140" s="21" t="s">
        <v>21</v>
      </c>
      <c r="C140" s="21">
        <f>[60]PARS_utr_stat!B140</f>
        <v>1</v>
      </c>
      <c r="D140" s="21">
        <f>[60]PARS_utr_stat!C140</f>
        <v>1</v>
      </c>
      <c r="E140" s="22">
        <f t="shared" ref="E140:F140" si="140">C140/(C140+C141)</f>
        <v>0.5</v>
      </c>
      <c r="F140" s="22">
        <f t="shared" si="140"/>
        <v>0.33333333333333331</v>
      </c>
      <c r="I140" s="60">
        <v>70</v>
      </c>
      <c r="J140" s="21" t="s">
        <v>21</v>
      </c>
      <c r="K140" s="22">
        <f t="shared" si="130"/>
        <v>0.5</v>
      </c>
      <c r="L140" s="22">
        <f t="shared" si="130"/>
        <v>0.33333333333333331</v>
      </c>
      <c r="P140" s="24"/>
      <c r="Q140" s="24"/>
      <c r="R140" s="24"/>
      <c r="S140" s="24"/>
    </row>
    <row r="141" spans="1:19" x14ac:dyDescent="0.15">
      <c r="A141" s="60"/>
      <c r="B141" s="21" t="s">
        <v>22</v>
      </c>
      <c r="C141" s="21">
        <f>[60]PARS_utr_stat!B141</f>
        <v>1</v>
      </c>
      <c r="D141" s="21">
        <f>[60]PARS_utr_stat!C141</f>
        <v>2</v>
      </c>
      <c r="E141" s="22">
        <f t="shared" ref="E141:F141" si="141">C141/(C140+C141)</f>
        <v>0.5</v>
      </c>
      <c r="F141" s="22">
        <f t="shared" si="141"/>
        <v>0.66666666666666663</v>
      </c>
      <c r="I141" s="60"/>
      <c r="J141" s="21" t="s">
        <v>22</v>
      </c>
      <c r="K141" s="22">
        <f t="shared" si="130"/>
        <v>0.5</v>
      </c>
      <c r="L141" s="22">
        <f t="shared" si="130"/>
        <v>0.66666666666666663</v>
      </c>
      <c r="P141" s="24"/>
      <c r="Q141" s="24"/>
      <c r="R141" s="24"/>
      <c r="S141" s="24"/>
    </row>
    <row r="142" spans="1:19" x14ac:dyDescent="0.15">
      <c r="A142" s="60">
        <v>71</v>
      </c>
      <c r="B142" s="21" t="s">
        <v>21</v>
      </c>
      <c r="C142" s="21">
        <f>[60]PARS_utr_stat!B142</f>
        <v>4</v>
      </c>
      <c r="D142" s="21">
        <f>[60]PARS_utr_stat!C142</f>
        <v>4</v>
      </c>
      <c r="E142" s="22">
        <f t="shared" ref="E142:F142" si="142">C142/(C142+C143)</f>
        <v>0.4</v>
      </c>
      <c r="F142" s="22">
        <f t="shared" si="142"/>
        <v>0.8</v>
      </c>
      <c r="I142" s="60">
        <v>71</v>
      </c>
      <c r="J142" s="21" t="s">
        <v>21</v>
      </c>
      <c r="K142" s="22">
        <f t="shared" si="130"/>
        <v>0.4</v>
      </c>
      <c r="L142" s="22">
        <f t="shared" si="130"/>
        <v>0.8</v>
      </c>
      <c r="P142" s="24"/>
      <c r="Q142" s="24"/>
      <c r="R142" s="24"/>
      <c r="S142" s="24"/>
    </row>
    <row r="143" spans="1:19" x14ac:dyDescent="0.15">
      <c r="A143" s="60"/>
      <c r="B143" s="21" t="s">
        <v>22</v>
      </c>
      <c r="C143" s="21">
        <f>[60]PARS_utr_stat!B143</f>
        <v>6</v>
      </c>
      <c r="D143" s="21">
        <f>[60]PARS_utr_stat!C143</f>
        <v>1</v>
      </c>
      <c r="E143" s="22">
        <f t="shared" ref="E143:F143" si="143">C143/(C142+C143)</f>
        <v>0.6</v>
      </c>
      <c r="F143" s="22">
        <f t="shared" si="143"/>
        <v>0.2</v>
      </c>
      <c r="I143" s="60"/>
      <c r="J143" s="21" t="s">
        <v>22</v>
      </c>
      <c r="K143" s="22">
        <f t="shared" si="130"/>
        <v>0.6</v>
      </c>
      <c r="L143" s="22">
        <f t="shared" si="130"/>
        <v>0.2</v>
      </c>
      <c r="P143" s="24"/>
      <c r="Q143" s="24"/>
      <c r="R143" s="24"/>
      <c r="S143" s="24"/>
    </row>
    <row r="144" spans="1:19" x14ac:dyDescent="0.15">
      <c r="A144" s="60">
        <v>72</v>
      </c>
      <c r="B144" s="21" t="s">
        <v>21</v>
      </c>
      <c r="C144" s="21">
        <f>[60]PARS_utr_stat!B144</f>
        <v>4</v>
      </c>
      <c r="D144" s="21">
        <f>[60]PARS_utr_stat!C144</f>
        <v>1</v>
      </c>
      <c r="E144" s="22">
        <f t="shared" ref="E144:F144" si="144">C144/(C144+C145)</f>
        <v>0.5714285714285714</v>
      </c>
      <c r="F144" s="22">
        <f t="shared" si="144"/>
        <v>0.14285714285714285</v>
      </c>
      <c r="I144" s="60">
        <v>72</v>
      </c>
      <c r="J144" s="21" t="s">
        <v>21</v>
      </c>
      <c r="K144" s="22">
        <f t="shared" si="130"/>
        <v>0.5714285714285714</v>
      </c>
      <c r="L144" s="22">
        <f t="shared" si="130"/>
        <v>0.14285714285714285</v>
      </c>
      <c r="P144" s="24"/>
      <c r="Q144" s="24"/>
      <c r="R144" s="24"/>
      <c r="S144" s="24"/>
    </row>
    <row r="145" spans="1:19" x14ac:dyDescent="0.15">
      <c r="A145" s="60"/>
      <c r="B145" s="21" t="s">
        <v>22</v>
      </c>
      <c r="C145" s="21">
        <f>[60]PARS_utr_stat!B145</f>
        <v>3</v>
      </c>
      <c r="D145" s="21">
        <f>[60]PARS_utr_stat!C145</f>
        <v>6</v>
      </c>
      <c r="E145" s="22">
        <f t="shared" ref="E145:F145" si="145">C145/(C144+C145)</f>
        <v>0.42857142857142855</v>
      </c>
      <c r="F145" s="22">
        <f t="shared" si="145"/>
        <v>0.8571428571428571</v>
      </c>
      <c r="I145" s="60"/>
      <c r="J145" s="21" t="s">
        <v>22</v>
      </c>
      <c r="K145" s="22">
        <f t="shared" si="130"/>
        <v>0.42857142857142855</v>
      </c>
      <c r="L145" s="22">
        <f t="shared" si="130"/>
        <v>0.8571428571428571</v>
      </c>
      <c r="P145" s="24"/>
      <c r="Q145" s="24"/>
      <c r="R145" s="24"/>
      <c r="S145" s="24"/>
    </row>
    <row r="146" spans="1:19" x14ac:dyDescent="0.15">
      <c r="A146" s="60">
        <v>73</v>
      </c>
      <c r="B146" s="21" t="s">
        <v>21</v>
      </c>
      <c r="C146" s="21">
        <f>[60]PARS_utr_stat!B146</f>
        <v>3</v>
      </c>
      <c r="D146" s="21">
        <f>[60]PARS_utr_stat!C146</f>
        <v>1</v>
      </c>
      <c r="E146" s="22">
        <f t="shared" ref="E146:F146" si="146">C146/(C146+C147)</f>
        <v>0.5</v>
      </c>
      <c r="F146" s="22">
        <f t="shared" si="146"/>
        <v>0.5</v>
      </c>
      <c r="I146" s="60">
        <v>73</v>
      </c>
      <c r="J146" s="21" t="s">
        <v>21</v>
      </c>
      <c r="K146" s="22">
        <f t="shared" si="130"/>
        <v>0.5</v>
      </c>
      <c r="L146" s="22">
        <f t="shared" si="130"/>
        <v>0.5</v>
      </c>
      <c r="P146" s="24"/>
      <c r="Q146" s="24"/>
      <c r="R146" s="24"/>
      <c r="S146" s="24"/>
    </row>
    <row r="147" spans="1:19" x14ac:dyDescent="0.15">
      <c r="A147" s="60"/>
      <c r="B147" s="21" t="s">
        <v>22</v>
      </c>
      <c r="C147" s="21">
        <f>[60]PARS_utr_stat!B147</f>
        <v>3</v>
      </c>
      <c r="D147" s="21">
        <f>[60]PARS_utr_stat!C147</f>
        <v>1</v>
      </c>
      <c r="E147" s="22">
        <f t="shared" ref="E147:F147" si="147">C147/(C146+C147)</f>
        <v>0.5</v>
      </c>
      <c r="F147" s="22">
        <f t="shared" si="147"/>
        <v>0.5</v>
      </c>
      <c r="I147" s="60"/>
      <c r="J147" s="21" t="s">
        <v>22</v>
      </c>
      <c r="K147" s="22">
        <f t="shared" si="130"/>
        <v>0.5</v>
      </c>
      <c r="L147" s="22">
        <f t="shared" si="130"/>
        <v>0.5</v>
      </c>
      <c r="P147" s="24"/>
      <c r="Q147" s="24"/>
      <c r="R147" s="24"/>
      <c r="S147" s="24"/>
    </row>
    <row r="148" spans="1:19" x14ac:dyDescent="0.15">
      <c r="A148" s="60">
        <v>74</v>
      </c>
      <c r="B148" s="21" t="s">
        <v>21</v>
      </c>
      <c r="C148" s="21">
        <f>[60]PARS_utr_stat!B148</f>
        <v>3</v>
      </c>
      <c r="D148" s="21">
        <f>[60]PARS_utr_stat!C148</f>
        <v>0</v>
      </c>
      <c r="E148" s="22">
        <f t="shared" ref="E148:F148" si="148">C148/(C148+C149)</f>
        <v>0.375</v>
      </c>
      <c r="F148" s="22">
        <f t="shared" si="148"/>
        <v>0</v>
      </c>
      <c r="I148" s="60">
        <v>74</v>
      </c>
      <c r="J148" s="21" t="s">
        <v>21</v>
      </c>
      <c r="K148" s="22">
        <f t="shared" si="130"/>
        <v>0.375</v>
      </c>
      <c r="L148" s="22">
        <f t="shared" si="130"/>
        <v>0</v>
      </c>
      <c r="P148" s="24"/>
      <c r="Q148" s="24"/>
      <c r="R148" s="24"/>
      <c r="S148" s="24"/>
    </row>
    <row r="149" spans="1:19" x14ac:dyDescent="0.15">
      <c r="A149" s="60"/>
      <c r="B149" s="21" t="s">
        <v>22</v>
      </c>
      <c r="C149" s="21">
        <f>[60]PARS_utr_stat!B149</f>
        <v>5</v>
      </c>
      <c r="D149" s="21">
        <f>[60]PARS_utr_stat!C149</f>
        <v>2</v>
      </c>
      <c r="E149" s="22">
        <f t="shared" ref="E149:F149" si="149">C149/(C148+C149)</f>
        <v>0.625</v>
      </c>
      <c r="F149" s="22">
        <f t="shared" si="149"/>
        <v>1</v>
      </c>
      <c r="I149" s="60"/>
      <c r="J149" s="21" t="s">
        <v>22</v>
      </c>
      <c r="K149" s="22">
        <f t="shared" si="130"/>
        <v>0.625</v>
      </c>
      <c r="L149" s="22">
        <f t="shared" si="130"/>
        <v>1</v>
      </c>
      <c r="P149" s="24"/>
      <c r="Q149" s="24"/>
      <c r="R149" s="24"/>
      <c r="S149" s="24"/>
    </row>
    <row r="150" spans="1:19" x14ac:dyDescent="0.15">
      <c r="A150" s="60">
        <v>75</v>
      </c>
      <c r="B150" s="21" t="s">
        <v>21</v>
      </c>
      <c r="C150" s="21">
        <f>[60]PARS_utr_stat!B150</f>
        <v>4</v>
      </c>
      <c r="D150" s="21">
        <f>[60]PARS_utr_stat!C150</f>
        <v>0</v>
      </c>
      <c r="E150" s="22">
        <f t="shared" ref="E150:F150" si="150">C150/(C150+C151)</f>
        <v>0.8</v>
      </c>
      <c r="F150" s="22">
        <f t="shared" si="150"/>
        <v>0</v>
      </c>
      <c r="I150" s="60">
        <v>75</v>
      </c>
      <c r="J150" s="21" t="s">
        <v>21</v>
      </c>
      <c r="K150" s="22">
        <f t="shared" si="130"/>
        <v>0.8</v>
      </c>
      <c r="L150" s="22">
        <f t="shared" si="130"/>
        <v>0</v>
      </c>
      <c r="P150" s="24"/>
      <c r="Q150" s="24"/>
      <c r="R150" s="24"/>
      <c r="S150" s="24"/>
    </row>
    <row r="151" spans="1:19" x14ac:dyDescent="0.15">
      <c r="A151" s="60"/>
      <c r="B151" s="21" t="s">
        <v>22</v>
      </c>
      <c r="C151" s="21">
        <f>[60]PARS_utr_stat!B151</f>
        <v>1</v>
      </c>
      <c r="D151" s="21">
        <f>[60]PARS_utr_stat!C151</f>
        <v>2</v>
      </c>
      <c r="E151" s="22">
        <f t="shared" ref="E151:F151" si="151">C151/(C150+C151)</f>
        <v>0.2</v>
      </c>
      <c r="F151" s="22">
        <f t="shared" si="151"/>
        <v>1</v>
      </c>
      <c r="I151" s="60"/>
      <c r="J151" s="21" t="s">
        <v>22</v>
      </c>
      <c r="K151" s="22">
        <f t="shared" si="130"/>
        <v>0.2</v>
      </c>
      <c r="L151" s="22">
        <f t="shared" si="130"/>
        <v>1</v>
      </c>
      <c r="P151" s="24"/>
      <c r="Q151" s="24"/>
      <c r="R151" s="24"/>
      <c r="S151" s="24"/>
    </row>
    <row r="152" spans="1:19" x14ac:dyDescent="0.15">
      <c r="A152" s="60">
        <v>76</v>
      </c>
      <c r="B152" s="21" t="s">
        <v>21</v>
      </c>
      <c r="C152" s="21">
        <f>[60]PARS_utr_stat!B152</f>
        <v>2</v>
      </c>
      <c r="D152" s="21">
        <f>[60]PARS_utr_stat!C152</f>
        <v>2</v>
      </c>
      <c r="E152" s="22">
        <f t="shared" ref="E152:F152" si="152">C152/(C152+C153)</f>
        <v>0.5</v>
      </c>
      <c r="F152" s="22">
        <f t="shared" si="152"/>
        <v>0.33333333333333331</v>
      </c>
      <c r="I152" s="60">
        <v>76</v>
      </c>
      <c r="J152" s="21" t="s">
        <v>21</v>
      </c>
      <c r="K152" s="22">
        <f t="shared" si="130"/>
        <v>0.5</v>
      </c>
      <c r="L152" s="22">
        <f t="shared" si="130"/>
        <v>0.33333333333333331</v>
      </c>
      <c r="P152" s="24"/>
      <c r="Q152" s="24"/>
      <c r="R152" s="24"/>
      <c r="S152" s="24"/>
    </row>
    <row r="153" spans="1:19" x14ac:dyDescent="0.15">
      <c r="A153" s="60"/>
      <c r="B153" s="21" t="s">
        <v>22</v>
      </c>
      <c r="C153" s="21">
        <f>[60]PARS_utr_stat!B153</f>
        <v>2</v>
      </c>
      <c r="D153" s="21">
        <f>[60]PARS_utr_stat!C153</f>
        <v>4</v>
      </c>
      <c r="E153" s="22">
        <f t="shared" ref="E153:F153" si="153">C153/(C152+C153)</f>
        <v>0.5</v>
      </c>
      <c r="F153" s="22">
        <f t="shared" si="153"/>
        <v>0.66666666666666663</v>
      </c>
      <c r="I153" s="60"/>
      <c r="J153" s="21" t="s">
        <v>22</v>
      </c>
      <c r="K153" s="22">
        <f t="shared" si="130"/>
        <v>0.5</v>
      </c>
      <c r="L153" s="22">
        <f t="shared" si="130"/>
        <v>0.66666666666666663</v>
      </c>
      <c r="P153" s="24"/>
      <c r="Q153" s="24"/>
      <c r="R153" s="24"/>
      <c r="S153" s="24"/>
    </row>
    <row r="154" spans="1:19" x14ac:dyDescent="0.15">
      <c r="A154" s="60">
        <v>77</v>
      </c>
      <c r="B154" s="21" t="s">
        <v>21</v>
      </c>
      <c r="C154" s="21">
        <f>[60]PARS_utr_stat!B154</f>
        <v>2</v>
      </c>
      <c r="D154" s="21">
        <f>[60]PARS_utr_stat!C154</f>
        <v>2</v>
      </c>
      <c r="E154" s="22">
        <f t="shared" ref="E154:F154" si="154">C154/(C154+C155)</f>
        <v>0.66666666666666663</v>
      </c>
      <c r="F154" s="22">
        <f t="shared" si="154"/>
        <v>0.5</v>
      </c>
      <c r="I154" s="60">
        <v>77</v>
      </c>
      <c r="J154" s="21" t="s">
        <v>21</v>
      </c>
      <c r="K154" s="22">
        <f t="shared" si="130"/>
        <v>0.66666666666666663</v>
      </c>
      <c r="L154" s="22">
        <f t="shared" si="130"/>
        <v>0.5</v>
      </c>
      <c r="P154" s="24"/>
      <c r="Q154" s="24"/>
      <c r="R154" s="24"/>
      <c r="S154" s="24"/>
    </row>
    <row r="155" spans="1:19" x14ac:dyDescent="0.15">
      <c r="A155" s="60"/>
      <c r="B155" s="21" t="s">
        <v>22</v>
      </c>
      <c r="C155" s="21">
        <f>[60]PARS_utr_stat!B155</f>
        <v>1</v>
      </c>
      <c r="D155" s="21">
        <f>[60]PARS_utr_stat!C155</f>
        <v>2</v>
      </c>
      <c r="E155" s="22">
        <f t="shared" ref="E155:F155" si="155">C155/(C154+C155)</f>
        <v>0.33333333333333331</v>
      </c>
      <c r="F155" s="22">
        <f t="shared" si="155"/>
        <v>0.5</v>
      </c>
      <c r="I155" s="60"/>
      <c r="J155" s="21" t="s">
        <v>22</v>
      </c>
      <c r="K155" s="22">
        <f t="shared" si="130"/>
        <v>0.33333333333333331</v>
      </c>
      <c r="L155" s="22">
        <f t="shared" si="130"/>
        <v>0.5</v>
      </c>
      <c r="P155" s="24"/>
      <c r="Q155" s="24"/>
      <c r="R155" s="24"/>
      <c r="S155" s="24"/>
    </row>
    <row r="156" spans="1:19" x14ac:dyDescent="0.15">
      <c r="A156" s="60">
        <v>78</v>
      </c>
      <c r="B156" s="21" t="s">
        <v>21</v>
      </c>
      <c r="C156" s="21">
        <f>[60]PARS_utr_stat!B156</f>
        <v>5</v>
      </c>
      <c r="D156" s="21">
        <f>[60]PARS_utr_stat!C156</f>
        <v>3</v>
      </c>
      <c r="E156" s="22">
        <f t="shared" ref="E156:F156" si="156">C156/(C156+C157)</f>
        <v>0.7142857142857143</v>
      </c>
      <c r="F156" s="22">
        <f t="shared" si="156"/>
        <v>0.5</v>
      </c>
      <c r="I156" s="60">
        <v>78</v>
      </c>
      <c r="J156" s="21" t="s">
        <v>21</v>
      </c>
      <c r="K156" s="22">
        <f t="shared" si="130"/>
        <v>0.7142857142857143</v>
      </c>
      <c r="L156" s="22">
        <f t="shared" si="130"/>
        <v>0.5</v>
      </c>
      <c r="P156" s="24"/>
      <c r="Q156" s="24"/>
      <c r="R156" s="24"/>
      <c r="S156" s="24"/>
    </row>
    <row r="157" spans="1:19" x14ac:dyDescent="0.15">
      <c r="A157" s="60"/>
      <c r="B157" s="21" t="s">
        <v>22</v>
      </c>
      <c r="C157" s="21">
        <f>[60]PARS_utr_stat!B157</f>
        <v>2</v>
      </c>
      <c r="D157" s="21">
        <f>[60]PARS_utr_stat!C157</f>
        <v>3</v>
      </c>
      <c r="E157" s="22">
        <f t="shared" ref="E157:F157" si="157">C157/(C156+C157)</f>
        <v>0.2857142857142857</v>
      </c>
      <c r="F157" s="22">
        <f t="shared" si="157"/>
        <v>0.5</v>
      </c>
      <c r="I157" s="60"/>
      <c r="J157" s="21" t="s">
        <v>22</v>
      </c>
      <c r="K157" s="22">
        <f t="shared" si="130"/>
        <v>0.2857142857142857</v>
      </c>
      <c r="L157" s="22">
        <f t="shared" si="130"/>
        <v>0.5</v>
      </c>
      <c r="P157" s="24"/>
      <c r="Q157" s="24"/>
      <c r="R157" s="24"/>
      <c r="S157" s="24"/>
    </row>
    <row r="158" spans="1:19" x14ac:dyDescent="0.15">
      <c r="A158" s="60">
        <v>79</v>
      </c>
      <c r="B158" s="21" t="s">
        <v>21</v>
      </c>
      <c r="C158" s="21">
        <f>[60]PARS_utr_stat!B158</f>
        <v>3</v>
      </c>
      <c r="D158" s="21">
        <f>[60]PARS_utr_stat!C158</f>
        <v>0</v>
      </c>
      <c r="E158" s="22">
        <f t="shared" ref="E158:F158" si="158">C158/(C158+C159)</f>
        <v>0.75</v>
      </c>
      <c r="F158" s="22">
        <f t="shared" si="158"/>
        <v>0</v>
      </c>
      <c r="I158" s="60">
        <v>79</v>
      </c>
      <c r="J158" s="21" t="s">
        <v>21</v>
      </c>
      <c r="K158" s="22">
        <f t="shared" si="130"/>
        <v>0.75</v>
      </c>
      <c r="L158" s="22">
        <f t="shared" si="130"/>
        <v>0</v>
      </c>
      <c r="P158" s="24"/>
      <c r="Q158" s="24"/>
      <c r="R158" s="24"/>
      <c r="S158" s="24"/>
    </row>
    <row r="159" spans="1:19" x14ac:dyDescent="0.15">
      <c r="A159" s="60"/>
      <c r="B159" s="21" t="s">
        <v>22</v>
      </c>
      <c r="C159" s="21">
        <f>[60]PARS_utr_stat!B159</f>
        <v>1</v>
      </c>
      <c r="D159" s="21">
        <f>[60]PARS_utr_stat!C159</f>
        <v>5</v>
      </c>
      <c r="E159" s="22">
        <f t="shared" ref="E159:F159" si="159">C159/(C158+C159)</f>
        <v>0.25</v>
      </c>
      <c r="F159" s="22">
        <f t="shared" si="159"/>
        <v>1</v>
      </c>
      <c r="I159" s="60"/>
      <c r="J159" s="21" t="s">
        <v>22</v>
      </c>
      <c r="K159" s="22">
        <f t="shared" si="130"/>
        <v>0.25</v>
      </c>
      <c r="L159" s="22">
        <f t="shared" si="130"/>
        <v>1</v>
      </c>
      <c r="P159" s="24"/>
      <c r="Q159" s="24"/>
      <c r="R159" s="24"/>
      <c r="S159" s="24"/>
    </row>
    <row r="160" spans="1:19" x14ac:dyDescent="0.15">
      <c r="A160" s="60">
        <v>80</v>
      </c>
      <c r="B160" s="21" t="s">
        <v>21</v>
      </c>
      <c r="C160" s="21">
        <f>[60]PARS_utr_stat!B160</f>
        <v>2</v>
      </c>
      <c r="D160" s="21">
        <f>[60]PARS_utr_stat!C160</f>
        <v>2</v>
      </c>
      <c r="E160" s="22">
        <f t="shared" ref="E160:F160" si="160">C160/(C160+C161)</f>
        <v>0.33333333333333331</v>
      </c>
      <c r="F160" s="22">
        <f t="shared" si="160"/>
        <v>0.66666666666666663</v>
      </c>
      <c r="I160" s="60">
        <v>80</v>
      </c>
      <c r="J160" s="21" t="s">
        <v>21</v>
      </c>
      <c r="K160" s="22">
        <f t="shared" si="130"/>
        <v>0.33333333333333331</v>
      </c>
      <c r="L160" s="22">
        <f t="shared" si="130"/>
        <v>0.66666666666666663</v>
      </c>
      <c r="P160" s="24"/>
      <c r="Q160" s="24"/>
      <c r="R160" s="24"/>
      <c r="S160" s="24"/>
    </row>
    <row r="161" spans="1:19" x14ac:dyDescent="0.15">
      <c r="A161" s="60"/>
      <c r="B161" s="21" t="s">
        <v>22</v>
      </c>
      <c r="C161" s="21">
        <f>[60]PARS_utr_stat!B161</f>
        <v>4</v>
      </c>
      <c r="D161" s="21">
        <f>[60]PARS_utr_stat!C161</f>
        <v>1</v>
      </c>
      <c r="E161" s="22">
        <f t="shared" ref="E161:F161" si="161">C161/(C160+C161)</f>
        <v>0.66666666666666663</v>
      </c>
      <c r="F161" s="22">
        <f t="shared" si="161"/>
        <v>0.33333333333333331</v>
      </c>
      <c r="I161" s="60"/>
      <c r="J161" s="21" t="s">
        <v>22</v>
      </c>
      <c r="K161" s="22">
        <f t="shared" si="130"/>
        <v>0.66666666666666663</v>
      </c>
      <c r="L161" s="22">
        <f t="shared" si="130"/>
        <v>0.33333333333333331</v>
      </c>
      <c r="P161" s="24"/>
      <c r="Q161" s="24"/>
      <c r="R161" s="24"/>
      <c r="S161" s="24"/>
    </row>
    <row r="162" spans="1:19" x14ac:dyDescent="0.15">
      <c r="A162" s="60">
        <v>81</v>
      </c>
      <c r="B162" s="21" t="s">
        <v>21</v>
      </c>
      <c r="C162" s="21">
        <f>[60]PARS_utr_stat!B162</f>
        <v>2</v>
      </c>
      <c r="D162" s="21">
        <f>[60]PARS_utr_stat!C162</f>
        <v>1</v>
      </c>
      <c r="E162" s="22">
        <f t="shared" ref="E162:F162" si="162">C162/(C162+C163)</f>
        <v>0.5</v>
      </c>
      <c r="F162" s="22">
        <f t="shared" si="162"/>
        <v>0.5</v>
      </c>
      <c r="I162" s="60">
        <v>81</v>
      </c>
      <c r="J162" s="21" t="s">
        <v>21</v>
      </c>
      <c r="K162" s="22">
        <f t="shared" si="130"/>
        <v>0.5</v>
      </c>
      <c r="L162" s="22">
        <f t="shared" si="130"/>
        <v>0.5</v>
      </c>
      <c r="P162" s="24"/>
      <c r="Q162" s="24"/>
      <c r="R162" s="24"/>
      <c r="S162" s="24"/>
    </row>
    <row r="163" spans="1:19" x14ac:dyDescent="0.15">
      <c r="A163" s="60"/>
      <c r="B163" s="21" t="s">
        <v>22</v>
      </c>
      <c r="C163" s="21">
        <f>[60]PARS_utr_stat!B163</f>
        <v>2</v>
      </c>
      <c r="D163" s="21">
        <f>[60]PARS_utr_stat!C163</f>
        <v>1</v>
      </c>
      <c r="E163" s="22">
        <f t="shared" ref="E163:F163" si="163">C163/(C162+C163)</f>
        <v>0.5</v>
      </c>
      <c r="F163" s="22">
        <f t="shared" si="163"/>
        <v>0.5</v>
      </c>
      <c r="I163" s="60"/>
      <c r="J163" s="21" t="s">
        <v>22</v>
      </c>
      <c r="K163" s="22">
        <f t="shared" si="130"/>
        <v>0.5</v>
      </c>
      <c r="L163" s="22">
        <f t="shared" si="130"/>
        <v>0.5</v>
      </c>
      <c r="P163" s="24"/>
      <c r="Q163" s="24"/>
      <c r="R163" s="24"/>
      <c r="S163" s="24"/>
    </row>
    <row r="164" spans="1:19" x14ac:dyDescent="0.15">
      <c r="A164" s="60">
        <v>82</v>
      </c>
      <c r="B164" s="21" t="s">
        <v>21</v>
      </c>
      <c r="C164" s="21">
        <f>[60]PARS_utr_stat!B164</f>
        <v>3</v>
      </c>
      <c r="D164" s="21">
        <f>[60]PARS_utr_stat!C164</f>
        <v>7</v>
      </c>
      <c r="E164" s="22">
        <f t="shared" ref="E164:F164" si="164">C164/(C164+C165)</f>
        <v>1</v>
      </c>
      <c r="F164" s="22">
        <f t="shared" si="164"/>
        <v>0.875</v>
      </c>
      <c r="I164" s="60">
        <v>82</v>
      </c>
      <c r="J164" s="21" t="s">
        <v>21</v>
      </c>
      <c r="K164" s="22">
        <f t="shared" si="130"/>
        <v>1</v>
      </c>
      <c r="L164" s="22">
        <f t="shared" si="130"/>
        <v>0.875</v>
      </c>
      <c r="P164" s="24"/>
      <c r="Q164" s="24"/>
      <c r="R164" s="24"/>
      <c r="S164" s="24"/>
    </row>
    <row r="165" spans="1:19" x14ac:dyDescent="0.15">
      <c r="A165" s="60"/>
      <c r="B165" s="21" t="s">
        <v>22</v>
      </c>
      <c r="C165" s="21">
        <f>[60]PARS_utr_stat!B165</f>
        <v>0</v>
      </c>
      <c r="D165" s="21">
        <f>[60]PARS_utr_stat!C165</f>
        <v>1</v>
      </c>
      <c r="E165" s="22">
        <f t="shared" ref="E165:F165" si="165">C165/(C164+C165)</f>
        <v>0</v>
      </c>
      <c r="F165" s="22">
        <f t="shared" si="165"/>
        <v>0.125</v>
      </c>
      <c r="I165" s="60"/>
      <c r="J165" s="21" t="s">
        <v>22</v>
      </c>
      <c r="K165" s="22">
        <f t="shared" si="130"/>
        <v>0</v>
      </c>
      <c r="L165" s="22">
        <f t="shared" si="130"/>
        <v>0.125</v>
      </c>
      <c r="P165" s="24"/>
      <c r="Q165" s="24"/>
      <c r="R165" s="24"/>
      <c r="S165" s="24"/>
    </row>
    <row r="166" spans="1:19" x14ac:dyDescent="0.15">
      <c r="A166" s="60">
        <v>83</v>
      </c>
      <c r="B166" s="21" t="s">
        <v>21</v>
      </c>
      <c r="C166" s="21">
        <f>[60]PARS_utr_stat!B166</f>
        <v>2</v>
      </c>
      <c r="D166" s="21">
        <f>[60]PARS_utr_stat!C166</f>
        <v>1</v>
      </c>
      <c r="E166" s="22">
        <f t="shared" ref="E166:F166" si="166">C166/(C166+C167)</f>
        <v>0.4</v>
      </c>
      <c r="F166" s="22">
        <f t="shared" si="166"/>
        <v>0.33333333333333331</v>
      </c>
      <c r="I166" s="60">
        <v>83</v>
      </c>
      <c r="J166" s="21" t="s">
        <v>21</v>
      </c>
      <c r="K166" s="22">
        <f t="shared" si="130"/>
        <v>0.4</v>
      </c>
      <c r="L166" s="22">
        <f t="shared" si="130"/>
        <v>0.33333333333333331</v>
      </c>
      <c r="P166" s="24"/>
      <c r="Q166" s="24"/>
      <c r="R166" s="24"/>
      <c r="S166" s="24"/>
    </row>
    <row r="167" spans="1:19" x14ac:dyDescent="0.15">
      <c r="A167" s="60"/>
      <c r="B167" s="21" t="s">
        <v>22</v>
      </c>
      <c r="C167" s="21">
        <f>[60]PARS_utr_stat!B167</f>
        <v>3</v>
      </c>
      <c r="D167" s="21">
        <f>[60]PARS_utr_stat!C167</f>
        <v>2</v>
      </c>
      <c r="E167" s="22">
        <f t="shared" ref="E167:F167" si="167">C167/(C166+C167)</f>
        <v>0.6</v>
      </c>
      <c r="F167" s="22">
        <f t="shared" si="167"/>
        <v>0.66666666666666663</v>
      </c>
      <c r="I167" s="60"/>
      <c r="J167" s="21" t="s">
        <v>22</v>
      </c>
      <c r="K167" s="22">
        <f t="shared" si="130"/>
        <v>0.6</v>
      </c>
      <c r="L167" s="22">
        <f t="shared" si="130"/>
        <v>0.66666666666666663</v>
      </c>
      <c r="P167" s="24"/>
      <c r="Q167" s="24"/>
      <c r="R167" s="24"/>
      <c r="S167" s="24"/>
    </row>
    <row r="168" spans="1:19" x14ac:dyDescent="0.15">
      <c r="A168" s="60">
        <v>84</v>
      </c>
      <c r="B168" s="21" t="s">
        <v>21</v>
      </c>
      <c r="C168" s="21">
        <f>[60]PARS_utr_stat!B168</f>
        <v>4</v>
      </c>
      <c r="D168" s="21">
        <f>[60]PARS_utr_stat!C168</f>
        <v>4</v>
      </c>
      <c r="E168" s="22">
        <f t="shared" ref="E168:F168" si="168">C168/(C168+C169)</f>
        <v>0.36363636363636365</v>
      </c>
      <c r="F168" s="22">
        <f t="shared" si="168"/>
        <v>0.5714285714285714</v>
      </c>
      <c r="I168" s="60">
        <v>84</v>
      </c>
      <c r="J168" s="21" t="s">
        <v>21</v>
      </c>
      <c r="K168" s="22">
        <f t="shared" si="130"/>
        <v>0.36363636363636365</v>
      </c>
      <c r="L168" s="22">
        <f t="shared" si="130"/>
        <v>0.5714285714285714</v>
      </c>
      <c r="P168" s="24"/>
      <c r="Q168" s="24"/>
      <c r="R168" s="24"/>
      <c r="S168" s="24"/>
    </row>
    <row r="169" spans="1:19" x14ac:dyDescent="0.15">
      <c r="A169" s="60"/>
      <c r="B169" s="21" t="s">
        <v>22</v>
      </c>
      <c r="C169" s="21">
        <f>[60]PARS_utr_stat!B169</f>
        <v>7</v>
      </c>
      <c r="D169" s="21">
        <f>[60]PARS_utr_stat!C169</f>
        <v>3</v>
      </c>
      <c r="E169" s="22">
        <f t="shared" ref="E169:F169" si="169">C169/(C168+C169)</f>
        <v>0.63636363636363635</v>
      </c>
      <c r="F169" s="22">
        <f t="shared" si="169"/>
        <v>0.42857142857142855</v>
      </c>
      <c r="I169" s="60"/>
      <c r="J169" s="21" t="s">
        <v>22</v>
      </c>
      <c r="K169" s="22">
        <f t="shared" si="130"/>
        <v>0.63636363636363635</v>
      </c>
      <c r="L169" s="22">
        <f t="shared" si="130"/>
        <v>0.42857142857142855</v>
      </c>
      <c r="P169" s="24"/>
      <c r="Q169" s="24"/>
      <c r="R169" s="24"/>
      <c r="S169" s="24"/>
    </row>
    <row r="170" spans="1:19" x14ac:dyDescent="0.15">
      <c r="A170" s="60">
        <v>85</v>
      </c>
      <c r="B170" s="21" t="s">
        <v>21</v>
      </c>
      <c r="C170" s="21">
        <f>[60]PARS_utr_stat!B170</f>
        <v>3</v>
      </c>
      <c r="D170" s="21">
        <f>[60]PARS_utr_stat!C170</f>
        <v>4</v>
      </c>
      <c r="E170" s="22">
        <f t="shared" ref="E170:F170" si="170">C170/(C170+C171)</f>
        <v>0.33333333333333331</v>
      </c>
      <c r="F170" s="22">
        <f t="shared" si="170"/>
        <v>1</v>
      </c>
      <c r="I170" s="60">
        <v>85</v>
      </c>
      <c r="J170" s="21" t="s">
        <v>21</v>
      </c>
      <c r="K170" s="22">
        <f t="shared" si="130"/>
        <v>0.33333333333333331</v>
      </c>
      <c r="L170" s="22">
        <f t="shared" si="130"/>
        <v>1</v>
      </c>
      <c r="P170" s="24"/>
      <c r="Q170" s="24"/>
      <c r="R170" s="24"/>
      <c r="S170" s="24"/>
    </row>
    <row r="171" spans="1:19" x14ac:dyDescent="0.15">
      <c r="A171" s="60"/>
      <c r="B171" s="21" t="s">
        <v>22</v>
      </c>
      <c r="C171" s="21">
        <f>[60]PARS_utr_stat!B171</f>
        <v>6</v>
      </c>
      <c r="D171" s="21">
        <f>[60]PARS_utr_stat!C171</f>
        <v>0</v>
      </c>
      <c r="E171" s="22">
        <f t="shared" ref="E171:F171" si="171">C171/(C170+C171)</f>
        <v>0.66666666666666663</v>
      </c>
      <c r="F171" s="22">
        <f t="shared" si="171"/>
        <v>0</v>
      </c>
      <c r="I171" s="60"/>
      <c r="J171" s="21" t="s">
        <v>22</v>
      </c>
      <c r="K171" s="22">
        <f t="shared" si="130"/>
        <v>0.66666666666666663</v>
      </c>
      <c r="L171" s="22">
        <f t="shared" si="130"/>
        <v>0</v>
      </c>
      <c r="P171" s="24"/>
      <c r="Q171" s="24"/>
      <c r="R171" s="24"/>
      <c r="S171" s="24"/>
    </row>
    <row r="172" spans="1:19" x14ac:dyDescent="0.15">
      <c r="A172" s="60">
        <v>86</v>
      </c>
      <c r="B172" s="21" t="s">
        <v>21</v>
      </c>
      <c r="C172" s="21">
        <f>[60]PARS_utr_stat!B172</f>
        <v>2</v>
      </c>
      <c r="D172" s="21">
        <f>[60]PARS_utr_stat!C172</f>
        <v>4</v>
      </c>
      <c r="E172" s="22">
        <f t="shared" ref="E172:F172" si="172">C172/(C172+C173)</f>
        <v>0.4</v>
      </c>
      <c r="F172" s="22">
        <f t="shared" si="172"/>
        <v>0.5</v>
      </c>
      <c r="I172" s="60">
        <v>86</v>
      </c>
      <c r="J172" s="21" t="s">
        <v>21</v>
      </c>
      <c r="K172" s="22">
        <f t="shared" si="130"/>
        <v>0.4</v>
      </c>
      <c r="L172" s="22">
        <f t="shared" si="130"/>
        <v>0.5</v>
      </c>
      <c r="P172" s="24"/>
      <c r="Q172" s="24"/>
      <c r="R172" s="24"/>
      <c r="S172" s="24"/>
    </row>
    <row r="173" spans="1:19" x14ac:dyDescent="0.15">
      <c r="A173" s="60"/>
      <c r="B173" s="21" t="s">
        <v>22</v>
      </c>
      <c r="C173" s="21">
        <f>[60]PARS_utr_stat!B173</f>
        <v>3</v>
      </c>
      <c r="D173" s="21">
        <f>[60]PARS_utr_stat!C173</f>
        <v>4</v>
      </c>
      <c r="E173" s="22">
        <f t="shared" ref="E173:F173" si="173">C173/(C172+C173)</f>
        <v>0.6</v>
      </c>
      <c r="F173" s="22">
        <f t="shared" si="173"/>
        <v>0.5</v>
      </c>
      <c r="I173" s="60"/>
      <c r="J173" s="21" t="s">
        <v>22</v>
      </c>
      <c r="K173" s="22">
        <f t="shared" si="130"/>
        <v>0.6</v>
      </c>
      <c r="L173" s="22">
        <f t="shared" si="130"/>
        <v>0.5</v>
      </c>
      <c r="P173" s="24"/>
      <c r="Q173" s="24"/>
      <c r="R173" s="24"/>
      <c r="S173" s="24"/>
    </row>
    <row r="174" spans="1:19" x14ac:dyDescent="0.15">
      <c r="A174" s="60">
        <v>87</v>
      </c>
      <c r="B174" s="21" t="s">
        <v>21</v>
      </c>
      <c r="C174" s="21">
        <f>[60]PARS_utr_stat!B174</f>
        <v>5</v>
      </c>
      <c r="D174" s="21">
        <f>[60]PARS_utr_stat!C174</f>
        <v>1</v>
      </c>
      <c r="E174" s="22">
        <f t="shared" ref="E174:F174" si="174">C174/(C174+C175)</f>
        <v>0.625</v>
      </c>
      <c r="F174" s="22">
        <f t="shared" si="174"/>
        <v>0.25</v>
      </c>
      <c r="I174" s="60">
        <v>87</v>
      </c>
      <c r="J174" s="21" t="s">
        <v>21</v>
      </c>
      <c r="K174" s="22">
        <f t="shared" si="130"/>
        <v>0.625</v>
      </c>
      <c r="L174" s="22">
        <f t="shared" si="130"/>
        <v>0.25</v>
      </c>
      <c r="P174" s="24"/>
      <c r="Q174" s="24"/>
      <c r="R174" s="24"/>
      <c r="S174" s="24"/>
    </row>
    <row r="175" spans="1:19" x14ac:dyDescent="0.15">
      <c r="A175" s="60"/>
      <c r="B175" s="21" t="s">
        <v>22</v>
      </c>
      <c r="C175" s="21">
        <f>[60]PARS_utr_stat!B175</f>
        <v>3</v>
      </c>
      <c r="D175" s="21">
        <f>[60]PARS_utr_stat!C175</f>
        <v>3</v>
      </c>
      <c r="E175" s="22">
        <f t="shared" ref="E175:F175" si="175">C175/(C174+C175)</f>
        <v>0.375</v>
      </c>
      <c r="F175" s="22">
        <f t="shared" si="175"/>
        <v>0.75</v>
      </c>
      <c r="I175" s="60"/>
      <c r="J175" s="21" t="s">
        <v>22</v>
      </c>
      <c r="K175" s="22">
        <f t="shared" si="130"/>
        <v>0.375</v>
      </c>
      <c r="L175" s="22">
        <f t="shared" si="130"/>
        <v>0.75</v>
      </c>
      <c r="P175" s="24"/>
      <c r="Q175" s="24"/>
      <c r="R175" s="24"/>
      <c r="S175" s="24"/>
    </row>
    <row r="176" spans="1:19" x14ac:dyDescent="0.15">
      <c r="A176" s="60">
        <v>88</v>
      </c>
      <c r="B176" s="21" t="s">
        <v>21</v>
      </c>
      <c r="C176" s="21">
        <f>[60]PARS_utr_stat!B176</f>
        <v>2</v>
      </c>
      <c r="D176" s="21">
        <f>[60]PARS_utr_stat!C176</f>
        <v>1</v>
      </c>
      <c r="E176" s="22">
        <f t="shared" ref="E176:F176" si="176">C176/(C176+C177)</f>
        <v>0.4</v>
      </c>
      <c r="F176" s="22">
        <f t="shared" si="176"/>
        <v>0.2</v>
      </c>
      <c r="I176" s="60">
        <v>88</v>
      </c>
      <c r="J176" s="21" t="s">
        <v>21</v>
      </c>
      <c r="K176" s="22">
        <f t="shared" si="130"/>
        <v>0.4</v>
      </c>
      <c r="L176" s="22">
        <f t="shared" si="130"/>
        <v>0.2</v>
      </c>
      <c r="P176" s="24"/>
      <c r="Q176" s="24"/>
      <c r="R176" s="24"/>
      <c r="S176" s="24"/>
    </row>
    <row r="177" spans="1:19" x14ac:dyDescent="0.15">
      <c r="A177" s="60"/>
      <c r="B177" s="21" t="s">
        <v>22</v>
      </c>
      <c r="C177" s="21">
        <f>[60]PARS_utr_stat!B177</f>
        <v>3</v>
      </c>
      <c r="D177" s="21">
        <f>[60]PARS_utr_stat!C177</f>
        <v>4</v>
      </c>
      <c r="E177" s="22">
        <f t="shared" ref="E177:F177" si="177">C177/(C176+C177)</f>
        <v>0.6</v>
      </c>
      <c r="F177" s="22">
        <f t="shared" si="177"/>
        <v>0.8</v>
      </c>
      <c r="I177" s="60"/>
      <c r="J177" s="21" t="s">
        <v>22</v>
      </c>
      <c r="K177" s="22">
        <f t="shared" si="130"/>
        <v>0.6</v>
      </c>
      <c r="L177" s="22">
        <f t="shared" si="130"/>
        <v>0.8</v>
      </c>
      <c r="P177" s="24"/>
      <c r="Q177" s="24"/>
      <c r="R177" s="24"/>
      <c r="S177" s="24"/>
    </row>
    <row r="178" spans="1:19" x14ac:dyDescent="0.15">
      <c r="A178" s="60">
        <v>89</v>
      </c>
      <c r="B178" s="21" t="s">
        <v>21</v>
      </c>
      <c r="C178" s="21">
        <f>[60]PARS_utr_stat!B178</f>
        <v>1</v>
      </c>
      <c r="D178" s="21">
        <f>[60]PARS_utr_stat!C178</f>
        <v>2</v>
      </c>
      <c r="E178" s="22">
        <f t="shared" ref="E178:F178" si="178">C178/(C178+C179)</f>
        <v>0.5</v>
      </c>
      <c r="F178" s="22">
        <f t="shared" si="178"/>
        <v>0.4</v>
      </c>
      <c r="I178" s="60">
        <v>89</v>
      </c>
      <c r="J178" s="21" t="s">
        <v>21</v>
      </c>
      <c r="K178" s="22">
        <f t="shared" si="130"/>
        <v>0.5</v>
      </c>
      <c r="L178" s="22">
        <f t="shared" si="130"/>
        <v>0.4</v>
      </c>
      <c r="P178" s="24"/>
      <c r="Q178" s="24"/>
      <c r="R178" s="24"/>
      <c r="S178" s="24"/>
    </row>
    <row r="179" spans="1:19" x14ac:dyDescent="0.15">
      <c r="A179" s="60"/>
      <c r="B179" s="21" t="s">
        <v>22</v>
      </c>
      <c r="C179" s="21">
        <f>[60]PARS_utr_stat!B179</f>
        <v>1</v>
      </c>
      <c r="D179" s="21">
        <f>[60]PARS_utr_stat!C179</f>
        <v>3</v>
      </c>
      <c r="E179" s="22">
        <f t="shared" ref="E179:F179" si="179">C179/(C178+C179)</f>
        <v>0.5</v>
      </c>
      <c r="F179" s="22">
        <f t="shared" si="179"/>
        <v>0.6</v>
      </c>
      <c r="I179" s="60"/>
      <c r="J179" s="21" t="s">
        <v>22</v>
      </c>
      <c r="K179" s="22">
        <f t="shared" si="130"/>
        <v>0.5</v>
      </c>
      <c r="L179" s="22">
        <f t="shared" si="130"/>
        <v>0.6</v>
      </c>
      <c r="P179" s="24"/>
      <c r="Q179" s="24"/>
      <c r="R179" s="24"/>
      <c r="S179" s="24"/>
    </row>
    <row r="180" spans="1:19" x14ac:dyDescent="0.15">
      <c r="A180" s="60">
        <v>90</v>
      </c>
      <c r="B180" s="21" t="s">
        <v>21</v>
      </c>
      <c r="C180" s="21">
        <f>[60]PARS_utr_stat!B180</f>
        <v>4</v>
      </c>
      <c r="D180" s="21">
        <f>[60]PARS_utr_stat!C180</f>
        <v>3</v>
      </c>
      <c r="E180" s="22">
        <f t="shared" ref="E180:F180" si="180">C180/(C180+C181)</f>
        <v>0.66666666666666663</v>
      </c>
      <c r="F180" s="22">
        <f t="shared" si="180"/>
        <v>0.75</v>
      </c>
      <c r="I180" s="60">
        <v>90</v>
      </c>
      <c r="J180" s="21" t="s">
        <v>21</v>
      </c>
      <c r="K180" s="22">
        <f t="shared" si="130"/>
        <v>0.66666666666666663</v>
      </c>
      <c r="L180" s="22">
        <f t="shared" si="130"/>
        <v>0.75</v>
      </c>
      <c r="P180" s="24"/>
      <c r="Q180" s="24"/>
      <c r="R180" s="24"/>
      <c r="S180" s="24"/>
    </row>
    <row r="181" spans="1:19" x14ac:dyDescent="0.15">
      <c r="A181" s="60"/>
      <c r="B181" s="21" t="s">
        <v>22</v>
      </c>
      <c r="C181" s="21">
        <f>[60]PARS_utr_stat!B181</f>
        <v>2</v>
      </c>
      <c r="D181" s="21">
        <f>[60]PARS_utr_stat!C181</f>
        <v>1</v>
      </c>
      <c r="E181" s="22">
        <f t="shared" ref="E181:F181" si="181">C181/(C180+C181)</f>
        <v>0.33333333333333331</v>
      </c>
      <c r="F181" s="22">
        <f t="shared" si="181"/>
        <v>0.25</v>
      </c>
      <c r="I181" s="60"/>
      <c r="J181" s="21" t="s">
        <v>22</v>
      </c>
      <c r="K181" s="22">
        <f t="shared" si="130"/>
        <v>0.33333333333333331</v>
      </c>
      <c r="L181" s="22">
        <f t="shared" si="130"/>
        <v>0.25</v>
      </c>
      <c r="P181" s="24"/>
      <c r="Q181" s="24"/>
      <c r="R181" s="24"/>
      <c r="S181" s="24"/>
    </row>
    <row r="182" spans="1:19" x14ac:dyDescent="0.15">
      <c r="A182" s="60">
        <v>91</v>
      </c>
      <c r="B182" s="21" t="s">
        <v>21</v>
      </c>
      <c r="C182" s="21">
        <f>[60]PARS_utr_stat!B182</f>
        <v>6</v>
      </c>
      <c r="D182" s="21">
        <f>[60]PARS_utr_stat!C182</f>
        <v>1</v>
      </c>
      <c r="E182" s="22">
        <f t="shared" ref="E182:F182" si="182">C182/(C182+C183)</f>
        <v>0.66666666666666663</v>
      </c>
      <c r="F182" s="22">
        <f t="shared" si="182"/>
        <v>0.25</v>
      </c>
      <c r="I182" s="60">
        <v>91</v>
      </c>
      <c r="J182" s="21" t="s">
        <v>21</v>
      </c>
      <c r="K182" s="22">
        <f t="shared" si="130"/>
        <v>0.66666666666666663</v>
      </c>
      <c r="L182" s="22">
        <f t="shared" si="130"/>
        <v>0.25</v>
      </c>
      <c r="P182" s="24"/>
      <c r="Q182" s="24"/>
      <c r="R182" s="24"/>
      <c r="S182" s="24"/>
    </row>
    <row r="183" spans="1:19" x14ac:dyDescent="0.15">
      <c r="A183" s="60"/>
      <c r="B183" s="21" t="s">
        <v>22</v>
      </c>
      <c r="C183" s="21">
        <f>[60]PARS_utr_stat!B183</f>
        <v>3</v>
      </c>
      <c r="D183" s="21">
        <f>[60]PARS_utr_stat!C183</f>
        <v>3</v>
      </c>
      <c r="E183" s="22">
        <f t="shared" ref="E183:F183" si="183">C183/(C182+C183)</f>
        <v>0.33333333333333331</v>
      </c>
      <c r="F183" s="22">
        <f t="shared" si="183"/>
        <v>0.75</v>
      </c>
      <c r="I183" s="60"/>
      <c r="J183" s="21" t="s">
        <v>22</v>
      </c>
      <c r="K183" s="22">
        <f t="shared" si="130"/>
        <v>0.33333333333333331</v>
      </c>
      <c r="L183" s="22">
        <f t="shared" si="130"/>
        <v>0.75</v>
      </c>
      <c r="P183" s="24"/>
      <c r="Q183" s="24"/>
      <c r="R183" s="24"/>
      <c r="S183" s="24"/>
    </row>
    <row r="184" spans="1:19" x14ac:dyDescent="0.15">
      <c r="A184" s="60">
        <v>92</v>
      </c>
      <c r="B184" s="21" t="s">
        <v>21</v>
      </c>
      <c r="C184" s="21">
        <f>[60]PARS_utr_stat!B184</f>
        <v>4</v>
      </c>
      <c r="D184" s="21">
        <f>[60]PARS_utr_stat!C184</f>
        <v>1</v>
      </c>
      <c r="E184" s="22">
        <f t="shared" ref="E184:F184" si="184">C184/(C184+C185)</f>
        <v>0.8</v>
      </c>
      <c r="F184" s="22">
        <f t="shared" si="184"/>
        <v>0.25</v>
      </c>
      <c r="I184" s="60">
        <v>92</v>
      </c>
      <c r="J184" s="21" t="s">
        <v>21</v>
      </c>
      <c r="K184" s="22">
        <f t="shared" si="130"/>
        <v>0.8</v>
      </c>
      <c r="L184" s="22">
        <f t="shared" si="130"/>
        <v>0.25</v>
      </c>
      <c r="P184" s="24"/>
      <c r="Q184" s="24"/>
      <c r="R184" s="24"/>
      <c r="S184" s="24"/>
    </row>
    <row r="185" spans="1:19" x14ac:dyDescent="0.15">
      <c r="A185" s="60"/>
      <c r="B185" s="21" t="s">
        <v>22</v>
      </c>
      <c r="C185" s="21">
        <f>[60]PARS_utr_stat!B185</f>
        <v>1</v>
      </c>
      <c r="D185" s="21">
        <f>[60]PARS_utr_stat!C185</f>
        <v>3</v>
      </c>
      <c r="E185" s="22">
        <f t="shared" ref="E185:F185" si="185">C185/(C184+C185)</f>
        <v>0.2</v>
      </c>
      <c r="F185" s="22">
        <f t="shared" si="185"/>
        <v>0.75</v>
      </c>
      <c r="I185" s="60"/>
      <c r="J185" s="21" t="s">
        <v>22</v>
      </c>
      <c r="K185" s="22">
        <f t="shared" si="130"/>
        <v>0.2</v>
      </c>
      <c r="L185" s="22">
        <f t="shared" si="130"/>
        <v>0.75</v>
      </c>
      <c r="P185" s="24"/>
      <c r="Q185" s="24"/>
      <c r="R185" s="24"/>
      <c r="S185" s="24"/>
    </row>
    <row r="186" spans="1:19" x14ac:dyDescent="0.15">
      <c r="A186" s="60">
        <v>93</v>
      </c>
      <c r="B186" s="21" t="s">
        <v>21</v>
      </c>
      <c r="C186" s="21">
        <f>[60]PARS_utr_stat!B186</f>
        <v>5</v>
      </c>
      <c r="D186" s="21">
        <f>[60]PARS_utr_stat!C186</f>
        <v>5</v>
      </c>
      <c r="E186" s="22">
        <f t="shared" ref="E186:F186" si="186">C186/(C186+C187)</f>
        <v>0.7142857142857143</v>
      </c>
      <c r="F186" s="22">
        <f t="shared" si="186"/>
        <v>1</v>
      </c>
      <c r="I186" s="60">
        <v>93</v>
      </c>
      <c r="J186" s="21" t="s">
        <v>21</v>
      </c>
      <c r="K186" s="22">
        <f t="shared" si="130"/>
        <v>0.7142857142857143</v>
      </c>
      <c r="L186" s="22">
        <f t="shared" si="130"/>
        <v>1</v>
      </c>
      <c r="P186" s="24"/>
      <c r="Q186" s="24"/>
      <c r="R186" s="24"/>
      <c r="S186" s="24"/>
    </row>
    <row r="187" spans="1:19" x14ac:dyDescent="0.15">
      <c r="A187" s="60"/>
      <c r="B187" s="21" t="s">
        <v>22</v>
      </c>
      <c r="C187" s="21">
        <f>[60]PARS_utr_stat!B187</f>
        <v>2</v>
      </c>
      <c r="D187" s="21">
        <f>[60]PARS_utr_stat!C187</f>
        <v>0</v>
      </c>
      <c r="E187" s="22">
        <f t="shared" ref="E187:F187" si="187">C187/(C186+C187)</f>
        <v>0.2857142857142857</v>
      </c>
      <c r="F187" s="22">
        <f t="shared" si="187"/>
        <v>0</v>
      </c>
      <c r="I187" s="60"/>
      <c r="J187" s="21" t="s">
        <v>22</v>
      </c>
      <c r="K187" s="22">
        <f t="shared" si="130"/>
        <v>0.2857142857142857</v>
      </c>
      <c r="L187" s="22">
        <f t="shared" si="130"/>
        <v>0</v>
      </c>
      <c r="P187" s="24"/>
      <c r="Q187" s="24"/>
      <c r="R187" s="24"/>
      <c r="S187" s="24"/>
    </row>
    <row r="188" spans="1:19" x14ac:dyDescent="0.15">
      <c r="A188" s="60">
        <v>94</v>
      </c>
      <c r="B188" s="21" t="s">
        <v>21</v>
      </c>
      <c r="C188" s="21">
        <f>[60]PARS_utr_stat!B188</f>
        <v>9</v>
      </c>
      <c r="D188" s="21">
        <f>[60]PARS_utr_stat!C188</f>
        <v>6</v>
      </c>
      <c r="E188" s="22">
        <f t="shared" ref="E188:F188" si="188">C188/(C188+C189)</f>
        <v>0.69230769230769229</v>
      </c>
      <c r="F188" s="22">
        <f t="shared" si="188"/>
        <v>0.8571428571428571</v>
      </c>
      <c r="I188" s="60">
        <v>94</v>
      </c>
      <c r="J188" s="21" t="s">
        <v>21</v>
      </c>
      <c r="K188" s="22">
        <f t="shared" si="130"/>
        <v>0.69230769230769229</v>
      </c>
      <c r="L188" s="22">
        <f t="shared" si="130"/>
        <v>0.8571428571428571</v>
      </c>
      <c r="P188" s="24"/>
      <c r="Q188" s="24"/>
      <c r="R188" s="24"/>
      <c r="S188" s="24"/>
    </row>
    <row r="189" spans="1:19" x14ac:dyDescent="0.15">
      <c r="A189" s="60"/>
      <c r="B189" s="21" t="s">
        <v>22</v>
      </c>
      <c r="C189" s="21">
        <f>[60]PARS_utr_stat!B189</f>
        <v>4</v>
      </c>
      <c r="D189" s="21">
        <f>[60]PARS_utr_stat!C189</f>
        <v>1</v>
      </c>
      <c r="E189" s="22">
        <f t="shared" ref="E189:F189" si="189">C189/(C188+C189)</f>
        <v>0.30769230769230771</v>
      </c>
      <c r="F189" s="22">
        <f t="shared" si="189"/>
        <v>0.14285714285714285</v>
      </c>
      <c r="I189" s="60"/>
      <c r="J189" s="21" t="s">
        <v>22</v>
      </c>
      <c r="K189" s="22">
        <f t="shared" si="130"/>
        <v>0.30769230769230771</v>
      </c>
      <c r="L189" s="22">
        <f t="shared" si="130"/>
        <v>0.14285714285714285</v>
      </c>
      <c r="P189" s="24"/>
      <c r="Q189" s="24"/>
      <c r="R189" s="24"/>
      <c r="S189" s="24"/>
    </row>
    <row r="190" spans="1:19" x14ac:dyDescent="0.15">
      <c r="A190" s="60">
        <v>95</v>
      </c>
      <c r="B190" s="21" t="s">
        <v>21</v>
      </c>
      <c r="C190" s="21">
        <f>[60]PARS_utr_stat!B190</f>
        <v>0</v>
      </c>
      <c r="D190" s="21">
        <f>[60]PARS_utr_stat!C190</f>
        <v>2</v>
      </c>
      <c r="E190" s="22">
        <f t="shared" ref="E190:F190" si="190">C190/(C190+C191)</f>
        <v>0</v>
      </c>
      <c r="F190" s="22">
        <f t="shared" si="190"/>
        <v>0.5</v>
      </c>
      <c r="I190" s="60">
        <v>95</v>
      </c>
      <c r="J190" s="21" t="s">
        <v>21</v>
      </c>
      <c r="K190" s="22">
        <f t="shared" si="130"/>
        <v>0</v>
      </c>
      <c r="L190" s="22">
        <f t="shared" si="130"/>
        <v>0.5</v>
      </c>
      <c r="P190" s="24"/>
      <c r="Q190" s="24"/>
      <c r="R190" s="24"/>
      <c r="S190" s="24"/>
    </row>
    <row r="191" spans="1:19" x14ac:dyDescent="0.15">
      <c r="A191" s="60"/>
      <c r="B191" s="21" t="s">
        <v>22</v>
      </c>
      <c r="C191" s="21">
        <f>[60]PARS_utr_stat!B191</f>
        <v>3</v>
      </c>
      <c r="D191" s="21">
        <f>[60]PARS_utr_stat!C191</f>
        <v>2</v>
      </c>
      <c r="E191" s="22">
        <f t="shared" ref="E191:F191" si="191">C191/(C190+C191)</f>
        <v>1</v>
      </c>
      <c r="F191" s="22">
        <f t="shared" si="191"/>
        <v>0.5</v>
      </c>
      <c r="I191" s="60"/>
      <c r="J191" s="21" t="s">
        <v>22</v>
      </c>
      <c r="K191" s="22">
        <f t="shared" si="130"/>
        <v>1</v>
      </c>
      <c r="L191" s="22">
        <f t="shared" si="130"/>
        <v>0.5</v>
      </c>
      <c r="P191" s="24"/>
      <c r="Q191" s="24"/>
      <c r="R191" s="24"/>
      <c r="S191" s="24"/>
    </row>
    <row r="192" spans="1:19" x14ac:dyDescent="0.15">
      <c r="A192" s="60">
        <v>96</v>
      </c>
      <c r="B192" s="21" t="s">
        <v>21</v>
      </c>
      <c r="C192" s="21">
        <f>[60]PARS_utr_stat!B192</f>
        <v>5</v>
      </c>
      <c r="D192" s="21">
        <f>[60]PARS_utr_stat!C192</f>
        <v>2</v>
      </c>
      <c r="E192" s="22">
        <f t="shared" ref="E192:F192" si="192">C192/(C192+C193)</f>
        <v>0.55555555555555558</v>
      </c>
      <c r="F192" s="22">
        <f t="shared" si="192"/>
        <v>1</v>
      </c>
      <c r="I192" s="60">
        <v>96</v>
      </c>
      <c r="J192" s="21" t="s">
        <v>21</v>
      </c>
      <c r="K192" s="22">
        <f t="shared" si="130"/>
        <v>0.55555555555555558</v>
      </c>
      <c r="L192" s="22">
        <f t="shared" si="130"/>
        <v>1</v>
      </c>
      <c r="P192" s="24"/>
      <c r="Q192" s="24"/>
      <c r="R192" s="24"/>
      <c r="S192" s="24"/>
    </row>
    <row r="193" spans="1:19" x14ac:dyDescent="0.15">
      <c r="A193" s="60"/>
      <c r="B193" s="21" t="s">
        <v>22</v>
      </c>
      <c r="C193" s="21">
        <f>[60]PARS_utr_stat!B193</f>
        <v>4</v>
      </c>
      <c r="D193" s="21">
        <f>[60]PARS_utr_stat!C193</f>
        <v>0</v>
      </c>
      <c r="E193" s="22">
        <f t="shared" ref="E193:F193" si="193">C193/(C192+C193)</f>
        <v>0.44444444444444442</v>
      </c>
      <c r="F193" s="22">
        <f t="shared" si="193"/>
        <v>0</v>
      </c>
      <c r="I193" s="60"/>
      <c r="J193" s="21" t="s">
        <v>22</v>
      </c>
      <c r="K193" s="22">
        <f t="shared" si="130"/>
        <v>0.44444444444444442</v>
      </c>
      <c r="L193" s="22">
        <f t="shared" si="130"/>
        <v>0</v>
      </c>
      <c r="P193" s="24"/>
      <c r="Q193" s="24"/>
      <c r="R193" s="24"/>
      <c r="S193" s="24"/>
    </row>
    <row r="194" spans="1:19" x14ac:dyDescent="0.15">
      <c r="A194" s="60">
        <v>97</v>
      </c>
      <c r="B194" s="21" t="s">
        <v>21</v>
      </c>
      <c r="C194" s="21">
        <f>[60]PARS_utr_stat!B194</f>
        <v>5</v>
      </c>
      <c r="D194" s="21">
        <f>[60]PARS_utr_stat!C194</f>
        <v>2</v>
      </c>
      <c r="E194" s="22">
        <f t="shared" ref="E194:F194" si="194">C194/(C194+C195)</f>
        <v>0.5</v>
      </c>
      <c r="F194" s="22">
        <f t="shared" si="194"/>
        <v>0.33333333333333331</v>
      </c>
      <c r="I194" s="60">
        <v>97</v>
      </c>
      <c r="J194" s="21" t="s">
        <v>21</v>
      </c>
      <c r="K194" s="22">
        <f t="shared" ref="K194:L255" si="195">E194</f>
        <v>0.5</v>
      </c>
      <c r="L194" s="22">
        <f t="shared" si="195"/>
        <v>0.33333333333333331</v>
      </c>
      <c r="P194" s="24"/>
      <c r="Q194" s="24"/>
      <c r="R194" s="24"/>
      <c r="S194" s="24"/>
    </row>
    <row r="195" spans="1:19" x14ac:dyDescent="0.15">
      <c r="A195" s="60"/>
      <c r="B195" s="21" t="s">
        <v>22</v>
      </c>
      <c r="C195" s="21">
        <f>[60]PARS_utr_stat!B195</f>
        <v>5</v>
      </c>
      <c r="D195" s="21">
        <f>[60]PARS_utr_stat!C195</f>
        <v>4</v>
      </c>
      <c r="E195" s="22">
        <f t="shared" ref="E195:F195" si="196">C195/(C194+C195)</f>
        <v>0.5</v>
      </c>
      <c r="F195" s="22">
        <f t="shared" si="196"/>
        <v>0.66666666666666663</v>
      </c>
      <c r="I195" s="60"/>
      <c r="J195" s="21" t="s">
        <v>22</v>
      </c>
      <c r="K195" s="22">
        <f t="shared" si="195"/>
        <v>0.5</v>
      </c>
      <c r="L195" s="22">
        <f t="shared" si="195"/>
        <v>0.66666666666666663</v>
      </c>
      <c r="P195" s="24"/>
      <c r="Q195" s="24"/>
      <c r="R195" s="24"/>
      <c r="S195" s="24"/>
    </row>
    <row r="196" spans="1:19" x14ac:dyDescent="0.15">
      <c r="A196" s="60">
        <v>98</v>
      </c>
      <c r="B196" s="21" t="s">
        <v>21</v>
      </c>
      <c r="C196" s="21">
        <f>[60]PARS_utr_stat!B196</f>
        <v>7</v>
      </c>
      <c r="D196" s="21">
        <f>[60]PARS_utr_stat!C196</f>
        <v>0</v>
      </c>
      <c r="E196" s="22">
        <f t="shared" ref="E196:F196" si="197">C196/(C196+C197)</f>
        <v>0.7</v>
      </c>
      <c r="F196" s="22">
        <f t="shared" si="197"/>
        <v>0</v>
      </c>
      <c r="I196" s="60">
        <v>98</v>
      </c>
      <c r="J196" s="21" t="s">
        <v>21</v>
      </c>
      <c r="K196" s="22">
        <f t="shared" si="195"/>
        <v>0.7</v>
      </c>
      <c r="L196" s="22">
        <f t="shared" si="195"/>
        <v>0</v>
      </c>
      <c r="P196" s="24"/>
      <c r="Q196" s="24"/>
      <c r="R196" s="24"/>
      <c r="S196" s="24"/>
    </row>
    <row r="197" spans="1:19" x14ac:dyDescent="0.15">
      <c r="A197" s="60"/>
      <c r="B197" s="21" t="s">
        <v>22</v>
      </c>
      <c r="C197" s="21">
        <f>[60]PARS_utr_stat!B197</f>
        <v>3</v>
      </c>
      <c r="D197" s="21">
        <f>[60]PARS_utr_stat!C197</f>
        <v>2</v>
      </c>
      <c r="E197" s="22">
        <f t="shared" ref="E197:F197" si="198">C197/(C196+C197)</f>
        <v>0.3</v>
      </c>
      <c r="F197" s="22">
        <f t="shared" si="198"/>
        <v>1</v>
      </c>
      <c r="I197" s="60"/>
      <c r="J197" s="21" t="s">
        <v>22</v>
      </c>
      <c r="K197" s="22">
        <f t="shared" si="195"/>
        <v>0.3</v>
      </c>
      <c r="L197" s="22">
        <f t="shared" si="195"/>
        <v>1</v>
      </c>
      <c r="P197" s="24"/>
      <c r="Q197" s="24"/>
      <c r="R197" s="24"/>
      <c r="S197" s="24"/>
    </row>
    <row r="198" spans="1:19" x14ac:dyDescent="0.15">
      <c r="A198" s="60">
        <v>99</v>
      </c>
      <c r="B198" s="21" t="s">
        <v>21</v>
      </c>
      <c r="C198" s="21">
        <f>[60]PARS_utr_stat!B198</f>
        <v>2</v>
      </c>
      <c r="D198" s="21">
        <f>[60]PARS_utr_stat!C198</f>
        <v>2</v>
      </c>
      <c r="E198" s="22">
        <f t="shared" ref="E198:F198" si="199">C198/(C198+C199)</f>
        <v>0.66666666666666663</v>
      </c>
      <c r="F198" s="22">
        <f t="shared" si="199"/>
        <v>0.4</v>
      </c>
      <c r="I198" s="60">
        <v>99</v>
      </c>
      <c r="J198" s="21" t="s">
        <v>21</v>
      </c>
      <c r="K198" s="22">
        <f t="shared" si="195"/>
        <v>0.66666666666666663</v>
      </c>
      <c r="L198" s="22">
        <f t="shared" si="195"/>
        <v>0.4</v>
      </c>
      <c r="P198" s="24"/>
      <c r="Q198" s="24"/>
      <c r="R198" s="24"/>
      <c r="S198" s="24"/>
    </row>
    <row r="199" spans="1:19" x14ac:dyDescent="0.15">
      <c r="A199" s="60"/>
      <c r="B199" s="21" t="s">
        <v>22</v>
      </c>
      <c r="C199" s="21">
        <f>[60]PARS_utr_stat!B199</f>
        <v>1</v>
      </c>
      <c r="D199" s="21">
        <f>[60]PARS_utr_stat!C199</f>
        <v>3</v>
      </c>
      <c r="E199" s="22">
        <f t="shared" ref="E199:F199" si="200">C199/(C198+C199)</f>
        <v>0.33333333333333331</v>
      </c>
      <c r="F199" s="22">
        <f t="shared" si="200"/>
        <v>0.6</v>
      </c>
      <c r="I199" s="60"/>
      <c r="J199" s="21" t="s">
        <v>22</v>
      </c>
      <c r="K199" s="22">
        <f t="shared" si="195"/>
        <v>0.33333333333333331</v>
      </c>
      <c r="L199" s="22">
        <f t="shared" si="195"/>
        <v>0.6</v>
      </c>
      <c r="P199" s="24"/>
      <c r="Q199" s="24"/>
      <c r="R199" s="24"/>
      <c r="S199" s="24"/>
    </row>
    <row r="200" spans="1:19" x14ac:dyDescent="0.15">
      <c r="A200" s="60">
        <v>100</v>
      </c>
      <c r="B200" s="21" t="s">
        <v>21</v>
      </c>
      <c r="C200" s="21">
        <f>[60]PARS_utr_stat!B200</f>
        <v>2</v>
      </c>
      <c r="D200" s="21">
        <f>[60]PARS_utr_stat!C200</f>
        <v>2</v>
      </c>
      <c r="E200" s="22">
        <f t="shared" ref="E200:F200" si="201">C200/(C200+C201)</f>
        <v>0.5</v>
      </c>
      <c r="F200" s="22">
        <f t="shared" si="201"/>
        <v>0.2857142857142857</v>
      </c>
      <c r="I200" s="60">
        <v>100</v>
      </c>
      <c r="J200" s="21" t="s">
        <v>21</v>
      </c>
      <c r="K200" s="22">
        <f t="shared" si="195"/>
        <v>0.5</v>
      </c>
      <c r="L200" s="22">
        <f t="shared" si="195"/>
        <v>0.2857142857142857</v>
      </c>
      <c r="P200" s="24"/>
      <c r="Q200" s="24"/>
      <c r="R200" s="24"/>
      <c r="S200" s="24"/>
    </row>
    <row r="201" spans="1:19" x14ac:dyDescent="0.15">
      <c r="A201" s="60"/>
      <c r="B201" s="21" t="s">
        <v>22</v>
      </c>
      <c r="C201" s="21">
        <f>[60]PARS_utr_stat!B201</f>
        <v>2</v>
      </c>
      <c r="D201" s="21">
        <f>[60]PARS_utr_stat!C201</f>
        <v>5</v>
      </c>
      <c r="E201" s="22">
        <f t="shared" ref="E201:F201" si="202">C201/(C200+C201)</f>
        <v>0.5</v>
      </c>
      <c r="F201" s="22">
        <f t="shared" si="202"/>
        <v>0.7142857142857143</v>
      </c>
      <c r="I201" s="60"/>
      <c r="J201" s="21" t="s">
        <v>22</v>
      </c>
      <c r="K201" s="22">
        <f t="shared" si="195"/>
        <v>0.5</v>
      </c>
      <c r="L201" s="22">
        <f t="shared" si="195"/>
        <v>0.7142857142857143</v>
      </c>
      <c r="P201" s="24"/>
      <c r="Q201" s="24"/>
      <c r="R201" s="24"/>
      <c r="S201" s="24"/>
    </row>
    <row r="202" spans="1:19" x14ac:dyDescent="0.15">
      <c r="A202" s="60">
        <v>101</v>
      </c>
      <c r="B202" s="21" t="s">
        <v>21</v>
      </c>
      <c r="C202" s="21">
        <f>[60]PARS_utr_stat!B202</f>
        <v>4</v>
      </c>
      <c r="D202" s="21">
        <f>[60]PARS_utr_stat!C202</f>
        <v>3</v>
      </c>
      <c r="E202" s="22">
        <f t="shared" ref="E202:F202" si="203">C202/(C202+C203)</f>
        <v>0.8</v>
      </c>
      <c r="F202" s="22">
        <f t="shared" si="203"/>
        <v>0.6</v>
      </c>
      <c r="I202" s="60">
        <v>101</v>
      </c>
      <c r="J202" s="21" t="s">
        <v>21</v>
      </c>
      <c r="K202" s="22">
        <f t="shared" si="195"/>
        <v>0.8</v>
      </c>
      <c r="L202" s="22">
        <f t="shared" si="195"/>
        <v>0.6</v>
      </c>
      <c r="P202" s="24"/>
      <c r="Q202" s="24"/>
      <c r="R202" s="24"/>
      <c r="S202" s="24"/>
    </row>
    <row r="203" spans="1:19" x14ac:dyDescent="0.15">
      <c r="A203" s="60"/>
      <c r="B203" s="21" t="s">
        <v>22</v>
      </c>
      <c r="C203" s="21">
        <f>[60]PARS_utr_stat!B203</f>
        <v>1</v>
      </c>
      <c r="D203" s="21">
        <f>[60]PARS_utr_stat!C203</f>
        <v>2</v>
      </c>
      <c r="E203" s="22">
        <f t="shared" ref="E203:F203" si="204">C203/(C202+C203)</f>
        <v>0.2</v>
      </c>
      <c r="F203" s="22">
        <f t="shared" si="204"/>
        <v>0.4</v>
      </c>
      <c r="I203" s="60"/>
      <c r="J203" s="21" t="s">
        <v>22</v>
      </c>
      <c r="K203" s="22">
        <f t="shared" si="195"/>
        <v>0.2</v>
      </c>
      <c r="L203" s="22">
        <f t="shared" si="195"/>
        <v>0.4</v>
      </c>
      <c r="P203" s="24"/>
      <c r="Q203" s="24"/>
      <c r="R203" s="24"/>
      <c r="S203" s="24"/>
    </row>
    <row r="204" spans="1:19" x14ac:dyDescent="0.15">
      <c r="A204" s="60">
        <v>102</v>
      </c>
      <c r="B204" s="21" t="s">
        <v>21</v>
      </c>
      <c r="C204" s="21">
        <f>[60]PARS_utr_stat!B204</f>
        <v>9</v>
      </c>
      <c r="D204" s="21">
        <f>[60]PARS_utr_stat!C204</f>
        <v>3</v>
      </c>
      <c r="E204" s="22">
        <f t="shared" ref="E204:F204" si="205">C204/(C204+C205)</f>
        <v>0.5625</v>
      </c>
      <c r="F204" s="22">
        <f t="shared" si="205"/>
        <v>0.5</v>
      </c>
      <c r="I204" s="60">
        <v>102</v>
      </c>
      <c r="J204" s="21" t="s">
        <v>21</v>
      </c>
      <c r="K204" s="22">
        <f t="shared" si="195"/>
        <v>0.5625</v>
      </c>
      <c r="L204" s="22">
        <f t="shared" si="195"/>
        <v>0.5</v>
      </c>
      <c r="P204" s="24"/>
      <c r="Q204" s="24"/>
      <c r="R204" s="24"/>
      <c r="S204" s="24"/>
    </row>
    <row r="205" spans="1:19" x14ac:dyDescent="0.15">
      <c r="A205" s="60"/>
      <c r="B205" s="21" t="s">
        <v>22</v>
      </c>
      <c r="C205" s="21">
        <f>[60]PARS_utr_stat!B205</f>
        <v>7</v>
      </c>
      <c r="D205" s="21">
        <f>[60]PARS_utr_stat!C205</f>
        <v>3</v>
      </c>
      <c r="E205" s="22">
        <f t="shared" ref="E205:F205" si="206">C205/(C204+C205)</f>
        <v>0.4375</v>
      </c>
      <c r="F205" s="22">
        <f t="shared" si="206"/>
        <v>0.5</v>
      </c>
      <c r="I205" s="60"/>
      <c r="J205" s="21" t="s">
        <v>22</v>
      </c>
      <c r="K205" s="22">
        <f t="shared" si="195"/>
        <v>0.4375</v>
      </c>
      <c r="L205" s="22">
        <f t="shared" si="195"/>
        <v>0.5</v>
      </c>
      <c r="P205" s="24"/>
      <c r="Q205" s="24"/>
      <c r="R205" s="24"/>
      <c r="S205" s="24"/>
    </row>
    <row r="206" spans="1:19" x14ac:dyDescent="0.15">
      <c r="A206" s="60">
        <v>103</v>
      </c>
      <c r="B206" s="21" t="s">
        <v>21</v>
      </c>
      <c r="C206" s="21">
        <f>[60]PARS_utr_stat!B206</f>
        <v>2</v>
      </c>
      <c r="D206" s="21">
        <f>[60]PARS_utr_stat!C206</f>
        <v>3</v>
      </c>
      <c r="E206" s="22">
        <f t="shared" ref="E206:F206" si="207">C206/(C206+C207)</f>
        <v>0.5</v>
      </c>
      <c r="F206" s="22">
        <f t="shared" si="207"/>
        <v>0.75</v>
      </c>
      <c r="I206" s="60">
        <v>103</v>
      </c>
      <c r="J206" s="21" t="s">
        <v>21</v>
      </c>
      <c r="K206" s="22">
        <f t="shared" si="195"/>
        <v>0.5</v>
      </c>
      <c r="L206" s="22">
        <f t="shared" si="195"/>
        <v>0.75</v>
      </c>
      <c r="P206" s="24"/>
      <c r="Q206" s="24"/>
      <c r="R206" s="24"/>
      <c r="S206" s="24"/>
    </row>
    <row r="207" spans="1:19" x14ac:dyDescent="0.15">
      <c r="A207" s="60"/>
      <c r="B207" s="21" t="s">
        <v>22</v>
      </c>
      <c r="C207" s="21">
        <f>[60]PARS_utr_stat!B207</f>
        <v>2</v>
      </c>
      <c r="D207" s="21">
        <f>[60]PARS_utr_stat!C207</f>
        <v>1</v>
      </c>
      <c r="E207" s="22">
        <f t="shared" ref="E207:F207" si="208">C207/(C206+C207)</f>
        <v>0.5</v>
      </c>
      <c r="F207" s="22">
        <f t="shared" si="208"/>
        <v>0.25</v>
      </c>
      <c r="I207" s="60"/>
      <c r="J207" s="21" t="s">
        <v>22</v>
      </c>
      <c r="K207" s="22">
        <f t="shared" si="195"/>
        <v>0.5</v>
      </c>
      <c r="L207" s="22">
        <f t="shared" si="195"/>
        <v>0.25</v>
      </c>
      <c r="P207" s="24"/>
      <c r="Q207" s="24"/>
      <c r="R207" s="24"/>
      <c r="S207" s="24"/>
    </row>
    <row r="208" spans="1:19" x14ac:dyDescent="0.15">
      <c r="A208" s="60">
        <v>104</v>
      </c>
      <c r="B208" s="21" t="s">
        <v>21</v>
      </c>
      <c r="C208" s="21">
        <f>[60]PARS_utr_stat!B208</f>
        <v>3</v>
      </c>
      <c r="D208" s="21">
        <f>[60]PARS_utr_stat!C208</f>
        <v>1</v>
      </c>
      <c r="E208" s="22">
        <f t="shared" ref="E208:F208" si="209">C208/(C208+C209)</f>
        <v>0.6</v>
      </c>
      <c r="F208" s="22">
        <f t="shared" si="209"/>
        <v>0.25</v>
      </c>
      <c r="I208" s="60">
        <v>104</v>
      </c>
      <c r="J208" s="21" t="s">
        <v>21</v>
      </c>
      <c r="K208" s="22">
        <f t="shared" si="195"/>
        <v>0.6</v>
      </c>
      <c r="L208" s="22">
        <f t="shared" si="195"/>
        <v>0.25</v>
      </c>
      <c r="P208" s="24"/>
      <c r="Q208" s="24"/>
      <c r="R208" s="24"/>
      <c r="S208" s="24"/>
    </row>
    <row r="209" spans="1:19" x14ac:dyDescent="0.15">
      <c r="A209" s="60"/>
      <c r="B209" s="21" t="s">
        <v>22</v>
      </c>
      <c r="C209" s="21">
        <f>[60]PARS_utr_stat!B209</f>
        <v>2</v>
      </c>
      <c r="D209" s="21">
        <f>[60]PARS_utr_stat!C209</f>
        <v>3</v>
      </c>
      <c r="E209" s="22">
        <f t="shared" ref="E209:F209" si="210">C209/(C208+C209)</f>
        <v>0.4</v>
      </c>
      <c r="F209" s="22">
        <f t="shared" si="210"/>
        <v>0.75</v>
      </c>
      <c r="I209" s="60"/>
      <c r="J209" s="21" t="s">
        <v>22</v>
      </c>
      <c r="K209" s="22">
        <f t="shared" si="195"/>
        <v>0.4</v>
      </c>
      <c r="L209" s="22">
        <f t="shared" si="195"/>
        <v>0.75</v>
      </c>
      <c r="P209" s="24"/>
      <c r="Q209" s="24"/>
      <c r="R209" s="24"/>
      <c r="S209" s="24"/>
    </row>
    <row r="210" spans="1:19" x14ac:dyDescent="0.15">
      <c r="A210" s="60">
        <v>105</v>
      </c>
      <c r="B210" s="21" t="s">
        <v>21</v>
      </c>
      <c r="C210" s="21">
        <f>[60]PARS_utr_stat!B210</f>
        <v>4</v>
      </c>
      <c r="D210" s="21">
        <f>[60]PARS_utr_stat!C210</f>
        <v>5</v>
      </c>
      <c r="E210" s="22">
        <f t="shared" ref="E210:F210" si="211">C210/(C210+C211)</f>
        <v>0.8</v>
      </c>
      <c r="F210" s="22">
        <f t="shared" si="211"/>
        <v>0.7142857142857143</v>
      </c>
      <c r="I210" s="60">
        <v>105</v>
      </c>
      <c r="J210" s="21" t="s">
        <v>21</v>
      </c>
      <c r="K210" s="22">
        <f t="shared" si="195"/>
        <v>0.8</v>
      </c>
      <c r="L210" s="22">
        <f t="shared" si="195"/>
        <v>0.7142857142857143</v>
      </c>
      <c r="P210" s="24"/>
      <c r="Q210" s="24"/>
      <c r="R210" s="24"/>
      <c r="S210" s="24"/>
    </row>
    <row r="211" spans="1:19" x14ac:dyDescent="0.15">
      <c r="A211" s="60"/>
      <c r="B211" s="21" t="s">
        <v>22</v>
      </c>
      <c r="C211" s="21">
        <f>[60]PARS_utr_stat!B211</f>
        <v>1</v>
      </c>
      <c r="D211" s="21">
        <f>[60]PARS_utr_stat!C211</f>
        <v>2</v>
      </c>
      <c r="E211" s="22">
        <f t="shared" ref="E211:F211" si="212">C211/(C210+C211)</f>
        <v>0.2</v>
      </c>
      <c r="F211" s="22">
        <f t="shared" si="212"/>
        <v>0.2857142857142857</v>
      </c>
      <c r="I211" s="60"/>
      <c r="J211" s="21" t="s">
        <v>22</v>
      </c>
      <c r="K211" s="22">
        <f t="shared" si="195"/>
        <v>0.2</v>
      </c>
      <c r="L211" s="22">
        <f t="shared" si="195"/>
        <v>0.2857142857142857</v>
      </c>
      <c r="P211" s="24"/>
      <c r="Q211" s="24"/>
      <c r="R211" s="24"/>
      <c r="S211" s="24"/>
    </row>
    <row r="212" spans="1:19" x14ac:dyDescent="0.15">
      <c r="A212" s="60">
        <v>106</v>
      </c>
      <c r="B212" s="21" t="s">
        <v>21</v>
      </c>
      <c r="C212" s="21">
        <f>[60]PARS_utr_stat!B212</f>
        <v>0</v>
      </c>
      <c r="D212" s="21">
        <f>[60]PARS_utr_stat!C212</f>
        <v>1</v>
      </c>
      <c r="E212" s="22">
        <f t="shared" ref="E212:F212" si="213">C212/(C212+C213)</f>
        <v>0</v>
      </c>
      <c r="F212" s="22">
        <f t="shared" si="213"/>
        <v>0.5</v>
      </c>
      <c r="I212" s="60">
        <v>106</v>
      </c>
      <c r="J212" s="21" t="s">
        <v>21</v>
      </c>
      <c r="K212" s="22">
        <f t="shared" si="195"/>
        <v>0</v>
      </c>
      <c r="L212" s="22">
        <f t="shared" si="195"/>
        <v>0.5</v>
      </c>
      <c r="P212" s="24"/>
      <c r="Q212" s="24"/>
      <c r="R212" s="24"/>
      <c r="S212" s="24"/>
    </row>
    <row r="213" spans="1:19" x14ac:dyDescent="0.15">
      <c r="A213" s="60"/>
      <c r="B213" s="21" t="s">
        <v>22</v>
      </c>
      <c r="C213" s="21">
        <f>[60]PARS_utr_stat!B213</f>
        <v>6</v>
      </c>
      <c r="D213" s="21">
        <f>[60]PARS_utr_stat!C213</f>
        <v>1</v>
      </c>
      <c r="E213" s="22">
        <f t="shared" ref="E213:F213" si="214">C213/(C212+C213)</f>
        <v>1</v>
      </c>
      <c r="F213" s="22">
        <f t="shared" si="214"/>
        <v>0.5</v>
      </c>
      <c r="I213" s="60"/>
      <c r="J213" s="21" t="s">
        <v>22</v>
      </c>
      <c r="K213" s="22">
        <f t="shared" si="195"/>
        <v>1</v>
      </c>
      <c r="L213" s="22">
        <f t="shared" si="195"/>
        <v>0.5</v>
      </c>
      <c r="P213" s="24"/>
      <c r="Q213" s="24"/>
      <c r="R213" s="24"/>
      <c r="S213" s="24"/>
    </row>
    <row r="214" spans="1:19" x14ac:dyDescent="0.15">
      <c r="A214" s="60">
        <v>107</v>
      </c>
      <c r="B214" s="21" t="s">
        <v>21</v>
      </c>
      <c r="C214" s="21">
        <f>[60]PARS_utr_stat!B214</f>
        <v>4</v>
      </c>
      <c r="D214" s="21">
        <f>[60]PARS_utr_stat!C214</f>
        <v>1</v>
      </c>
      <c r="E214" s="22">
        <f t="shared" ref="E214:F214" si="215">C214/(C214+C215)</f>
        <v>0.5</v>
      </c>
      <c r="F214" s="22">
        <f t="shared" si="215"/>
        <v>0.33333333333333331</v>
      </c>
      <c r="I214" s="60">
        <v>107</v>
      </c>
      <c r="J214" s="21" t="s">
        <v>21</v>
      </c>
      <c r="K214" s="22">
        <f t="shared" si="195"/>
        <v>0.5</v>
      </c>
      <c r="L214" s="22">
        <f t="shared" si="195"/>
        <v>0.33333333333333331</v>
      </c>
      <c r="P214" s="24"/>
      <c r="Q214" s="24"/>
      <c r="R214" s="24"/>
      <c r="S214" s="24"/>
    </row>
    <row r="215" spans="1:19" x14ac:dyDescent="0.15">
      <c r="A215" s="60"/>
      <c r="B215" s="21" t="s">
        <v>22</v>
      </c>
      <c r="C215" s="21">
        <f>[60]PARS_utr_stat!B215</f>
        <v>4</v>
      </c>
      <c r="D215" s="21">
        <f>[60]PARS_utr_stat!C215</f>
        <v>2</v>
      </c>
      <c r="E215" s="22">
        <f t="shared" ref="E215:F215" si="216">C215/(C214+C215)</f>
        <v>0.5</v>
      </c>
      <c r="F215" s="22">
        <f t="shared" si="216"/>
        <v>0.66666666666666663</v>
      </c>
      <c r="I215" s="60"/>
      <c r="J215" s="21" t="s">
        <v>22</v>
      </c>
      <c r="K215" s="22">
        <f t="shared" si="195"/>
        <v>0.5</v>
      </c>
      <c r="L215" s="22">
        <f t="shared" si="195"/>
        <v>0.66666666666666663</v>
      </c>
      <c r="P215" s="24"/>
      <c r="Q215" s="24"/>
      <c r="R215" s="24"/>
      <c r="S215" s="24"/>
    </row>
    <row r="216" spans="1:19" x14ac:dyDescent="0.15">
      <c r="A216" s="60">
        <v>108</v>
      </c>
      <c r="B216" s="21" t="s">
        <v>21</v>
      </c>
      <c r="C216" s="21">
        <f>[60]PARS_utr_stat!B216</f>
        <v>4</v>
      </c>
      <c r="D216" s="21">
        <f>[60]PARS_utr_stat!C216</f>
        <v>1</v>
      </c>
      <c r="E216" s="22">
        <f t="shared" ref="E216:F216" si="217">C216/(C216+C217)</f>
        <v>0.8</v>
      </c>
      <c r="F216" s="22">
        <f t="shared" si="217"/>
        <v>1</v>
      </c>
      <c r="I216" s="60">
        <v>108</v>
      </c>
      <c r="J216" s="21" t="s">
        <v>21</v>
      </c>
      <c r="K216" s="22">
        <f t="shared" si="195"/>
        <v>0.8</v>
      </c>
      <c r="L216" s="22">
        <f t="shared" si="195"/>
        <v>1</v>
      </c>
      <c r="P216" s="24"/>
      <c r="Q216" s="24"/>
      <c r="R216" s="24"/>
      <c r="S216" s="24"/>
    </row>
    <row r="217" spans="1:19" x14ac:dyDescent="0.15">
      <c r="A217" s="60"/>
      <c r="B217" s="21" t="s">
        <v>22</v>
      </c>
      <c r="C217" s="21">
        <f>[60]PARS_utr_stat!B217</f>
        <v>1</v>
      </c>
      <c r="D217" s="21">
        <f>[60]PARS_utr_stat!C217</f>
        <v>0</v>
      </c>
      <c r="E217" s="22">
        <f t="shared" ref="E217:F217" si="218">C217/(C216+C217)</f>
        <v>0.2</v>
      </c>
      <c r="F217" s="22">
        <f t="shared" si="218"/>
        <v>0</v>
      </c>
      <c r="I217" s="60"/>
      <c r="J217" s="21" t="s">
        <v>22</v>
      </c>
      <c r="K217" s="22">
        <f t="shared" si="195"/>
        <v>0.2</v>
      </c>
      <c r="L217" s="22">
        <f t="shared" si="195"/>
        <v>0</v>
      </c>
      <c r="P217" s="24"/>
      <c r="Q217" s="24"/>
      <c r="R217" s="24"/>
      <c r="S217" s="24"/>
    </row>
    <row r="218" spans="1:19" x14ac:dyDescent="0.15">
      <c r="A218" s="60">
        <v>109</v>
      </c>
      <c r="B218" s="21" t="s">
        <v>21</v>
      </c>
      <c r="C218" s="21">
        <f>[60]PARS_utr_stat!B218</f>
        <v>7</v>
      </c>
      <c r="D218" s="21">
        <f>[60]PARS_utr_stat!C218</f>
        <v>1</v>
      </c>
      <c r="E218" s="22">
        <f t="shared" ref="E218:F218" si="219">C218/(C218+C219)</f>
        <v>0.77777777777777779</v>
      </c>
      <c r="F218" s="22">
        <f t="shared" si="219"/>
        <v>0.5</v>
      </c>
      <c r="I218" s="60">
        <v>109</v>
      </c>
      <c r="J218" s="21" t="s">
        <v>21</v>
      </c>
      <c r="K218" s="22">
        <f t="shared" si="195"/>
        <v>0.77777777777777779</v>
      </c>
      <c r="L218" s="22">
        <f t="shared" si="195"/>
        <v>0.5</v>
      </c>
      <c r="P218" s="24"/>
      <c r="Q218" s="24"/>
      <c r="R218" s="24"/>
      <c r="S218" s="24"/>
    </row>
    <row r="219" spans="1:19" x14ac:dyDescent="0.15">
      <c r="A219" s="60"/>
      <c r="B219" s="21" t="s">
        <v>22</v>
      </c>
      <c r="C219" s="21">
        <f>[60]PARS_utr_stat!B219</f>
        <v>2</v>
      </c>
      <c r="D219" s="21">
        <f>[60]PARS_utr_stat!C219</f>
        <v>1</v>
      </c>
      <c r="E219" s="22">
        <f t="shared" ref="E219:F219" si="220">C219/(C218+C219)</f>
        <v>0.22222222222222221</v>
      </c>
      <c r="F219" s="22">
        <f t="shared" si="220"/>
        <v>0.5</v>
      </c>
      <c r="I219" s="60"/>
      <c r="J219" s="21" t="s">
        <v>22</v>
      </c>
      <c r="K219" s="22">
        <f t="shared" si="195"/>
        <v>0.22222222222222221</v>
      </c>
      <c r="L219" s="22">
        <f t="shared" si="195"/>
        <v>0.5</v>
      </c>
      <c r="P219" s="24"/>
      <c r="Q219" s="24"/>
      <c r="R219" s="24"/>
      <c r="S219" s="24"/>
    </row>
    <row r="220" spans="1:19" x14ac:dyDescent="0.15">
      <c r="A220" s="60">
        <v>110</v>
      </c>
      <c r="B220" s="21" t="s">
        <v>21</v>
      </c>
      <c r="C220" s="21">
        <f>[60]PARS_utr_stat!B220</f>
        <v>3</v>
      </c>
      <c r="D220" s="21">
        <f>[60]PARS_utr_stat!C220</f>
        <v>2</v>
      </c>
      <c r="E220" s="22">
        <f t="shared" ref="E220:F220" si="221">C220/(C220+C221)</f>
        <v>0.6</v>
      </c>
      <c r="F220" s="22">
        <f t="shared" si="221"/>
        <v>1</v>
      </c>
      <c r="I220" s="60">
        <v>110</v>
      </c>
      <c r="J220" s="21" t="s">
        <v>21</v>
      </c>
      <c r="K220" s="22">
        <f t="shared" si="195"/>
        <v>0.6</v>
      </c>
      <c r="L220" s="22">
        <f t="shared" si="195"/>
        <v>1</v>
      </c>
      <c r="P220" s="24"/>
      <c r="Q220" s="24"/>
      <c r="R220" s="24"/>
      <c r="S220" s="24"/>
    </row>
    <row r="221" spans="1:19" x14ac:dyDescent="0.15">
      <c r="A221" s="60"/>
      <c r="B221" s="21" t="s">
        <v>22</v>
      </c>
      <c r="C221" s="21">
        <f>[60]PARS_utr_stat!B221</f>
        <v>2</v>
      </c>
      <c r="D221" s="21">
        <f>[60]PARS_utr_stat!C221</f>
        <v>0</v>
      </c>
      <c r="E221" s="22">
        <f t="shared" ref="E221:F221" si="222">C221/(C220+C221)</f>
        <v>0.4</v>
      </c>
      <c r="F221" s="22">
        <f t="shared" si="222"/>
        <v>0</v>
      </c>
      <c r="I221" s="60"/>
      <c r="J221" s="21" t="s">
        <v>22</v>
      </c>
      <c r="K221" s="22">
        <f t="shared" si="195"/>
        <v>0.4</v>
      </c>
      <c r="L221" s="22">
        <f t="shared" si="195"/>
        <v>0</v>
      </c>
      <c r="P221" s="24"/>
      <c r="Q221" s="24"/>
      <c r="R221" s="24"/>
      <c r="S221" s="24"/>
    </row>
    <row r="222" spans="1:19" x14ac:dyDescent="0.15">
      <c r="A222" s="60">
        <v>111</v>
      </c>
      <c r="B222" s="21" t="s">
        <v>21</v>
      </c>
      <c r="C222" s="21">
        <f>[60]PARS_utr_stat!B222</f>
        <v>6</v>
      </c>
      <c r="D222" s="21">
        <f>[60]PARS_utr_stat!C222</f>
        <v>4</v>
      </c>
      <c r="E222" s="22">
        <f t="shared" ref="E222:F222" si="223">C222/(C222+C223)</f>
        <v>0.75</v>
      </c>
      <c r="F222" s="22">
        <f t="shared" si="223"/>
        <v>0.5714285714285714</v>
      </c>
      <c r="I222" s="60">
        <v>111</v>
      </c>
      <c r="J222" s="21" t="s">
        <v>21</v>
      </c>
      <c r="K222" s="22">
        <f t="shared" si="195"/>
        <v>0.75</v>
      </c>
      <c r="L222" s="22">
        <f t="shared" si="195"/>
        <v>0.5714285714285714</v>
      </c>
      <c r="P222" s="24"/>
      <c r="Q222" s="24"/>
      <c r="R222" s="24"/>
      <c r="S222" s="24"/>
    </row>
    <row r="223" spans="1:19" x14ac:dyDescent="0.15">
      <c r="A223" s="60"/>
      <c r="B223" s="21" t="s">
        <v>22</v>
      </c>
      <c r="C223" s="21">
        <f>[60]PARS_utr_stat!B223</f>
        <v>2</v>
      </c>
      <c r="D223" s="21">
        <f>[60]PARS_utr_stat!C223</f>
        <v>3</v>
      </c>
      <c r="E223" s="22">
        <f t="shared" ref="E223:F223" si="224">C223/(C222+C223)</f>
        <v>0.25</v>
      </c>
      <c r="F223" s="22">
        <f t="shared" si="224"/>
        <v>0.42857142857142855</v>
      </c>
      <c r="I223" s="60"/>
      <c r="J223" s="21" t="s">
        <v>22</v>
      </c>
      <c r="K223" s="22">
        <f t="shared" si="195"/>
        <v>0.25</v>
      </c>
      <c r="L223" s="22">
        <f t="shared" si="195"/>
        <v>0.42857142857142855</v>
      </c>
      <c r="P223" s="24"/>
      <c r="Q223" s="24"/>
      <c r="R223" s="24"/>
      <c r="S223" s="24"/>
    </row>
    <row r="224" spans="1:19" x14ac:dyDescent="0.15">
      <c r="A224" s="60">
        <v>112</v>
      </c>
      <c r="B224" s="21" t="s">
        <v>21</v>
      </c>
      <c r="C224" s="21">
        <f>[60]PARS_utr_stat!B224</f>
        <v>9</v>
      </c>
      <c r="D224" s="21">
        <f>[60]PARS_utr_stat!C224</f>
        <v>3</v>
      </c>
      <c r="E224" s="22">
        <f t="shared" ref="E224:F224" si="225">C224/(C224+C225)</f>
        <v>0.75</v>
      </c>
      <c r="F224" s="22">
        <f t="shared" si="225"/>
        <v>0.5</v>
      </c>
      <c r="I224" s="60">
        <v>112</v>
      </c>
      <c r="J224" s="21" t="s">
        <v>21</v>
      </c>
      <c r="K224" s="22">
        <f t="shared" si="195"/>
        <v>0.75</v>
      </c>
      <c r="L224" s="22">
        <f t="shared" si="195"/>
        <v>0.5</v>
      </c>
      <c r="P224" s="24"/>
      <c r="Q224" s="24"/>
      <c r="R224" s="24"/>
      <c r="S224" s="24"/>
    </row>
    <row r="225" spans="1:19" x14ac:dyDescent="0.15">
      <c r="A225" s="60"/>
      <c r="B225" s="21" t="s">
        <v>22</v>
      </c>
      <c r="C225" s="21">
        <f>[60]PARS_utr_stat!B225</f>
        <v>3</v>
      </c>
      <c r="D225" s="21">
        <f>[60]PARS_utr_stat!C225</f>
        <v>3</v>
      </c>
      <c r="E225" s="22">
        <f t="shared" ref="E225:F225" si="226">C225/(C224+C225)</f>
        <v>0.25</v>
      </c>
      <c r="F225" s="22">
        <f t="shared" si="226"/>
        <v>0.5</v>
      </c>
      <c r="I225" s="60"/>
      <c r="J225" s="21" t="s">
        <v>22</v>
      </c>
      <c r="K225" s="22">
        <f t="shared" si="195"/>
        <v>0.25</v>
      </c>
      <c r="L225" s="22">
        <f t="shared" si="195"/>
        <v>0.5</v>
      </c>
      <c r="P225" s="24"/>
      <c r="Q225" s="24"/>
      <c r="R225" s="24"/>
      <c r="S225" s="24"/>
    </row>
    <row r="226" spans="1:19" x14ac:dyDescent="0.15">
      <c r="A226" s="60">
        <v>113</v>
      </c>
      <c r="B226" s="21" t="s">
        <v>21</v>
      </c>
      <c r="C226" s="21">
        <f>[60]PARS_utr_stat!B226</f>
        <v>5</v>
      </c>
      <c r="D226" s="21">
        <f>[60]PARS_utr_stat!C226</f>
        <v>4</v>
      </c>
      <c r="E226" s="22">
        <f t="shared" ref="E226:F226" si="227">C226/(C226+C227)</f>
        <v>0.625</v>
      </c>
      <c r="F226" s="22">
        <f t="shared" si="227"/>
        <v>0.66666666666666663</v>
      </c>
      <c r="I226" s="60">
        <v>113</v>
      </c>
      <c r="J226" s="21" t="s">
        <v>21</v>
      </c>
      <c r="K226" s="22">
        <f t="shared" si="195"/>
        <v>0.625</v>
      </c>
      <c r="L226" s="22">
        <f t="shared" si="195"/>
        <v>0.66666666666666663</v>
      </c>
      <c r="P226" s="24"/>
      <c r="Q226" s="24"/>
      <c r="R226" s="24"/>
      <c r="S226" s="24"/>
    </row>
    <row r="227" spans="1:19" x14ac:dyDescent="0.15">
      <c r="A227" s="60"/>
      <c r="B227" s="21" t="s">
        <v>22</v>
      </c>
      <c r="C227" s="21">
        <f>[60]PARS_utr_stat!B227</f>
        <v>3</v>
      </c>
      <c r="D227" s="21">
        <f>[60]PARS_utr_stat!C227</f>
        <v>2</v>
      </c>
      <c r="E227" s="22">
        <f t="shared" ref="E227:F227" si="228">C227/(C226+C227)</f>
        <v>0.375</v>
      </c>
      <c r="F227" s="22">
        <f t="shared" si="228"/>
        <v>0.33333333333333331</v>
      </c>
      <c r="I227" s="60"/>
      <c r="J227" s="21" t="s">
        <v>22</v>
      </c>
      <c r="K227" s="22">
        <f t="shared" si="195"/>
        <v>0.375</v>
      </c>
      <c r="L227" s="22">
        <f t="shared" si="195"/>
        <v>0.33333333333333331</v>
      </c>
      <c r="P227" s="24"/>
      <c r="Q227" s="24"/>
      <c r="R227" s="24"/>
      <c r="S227" s="24"/>
    </row>
    <row r="228" spans="1:19" x14ac:dyDescent="0.15">
      <c r="A228" s="60">
        <v>114</v>
      </c>
      <c r="B228" s="21" t="s">
        <v>21</v>
      </c>
      <c r="C228" s="21">
        <f>[60]PARS_utr_stat!B228</f>
        <v>5</v>
      </c>
      <c r="D228" s="21">
        <f>[60]PARS_utr_stat!C228</f>
        <v>3</v>
      </c>
      <c r="E228" s="22">
        <f t="shared" ref="E228:F228" si="229">C228/(C228+C229)</f>
        <v>0.45454545454545453</v>
      </c>
      <c r="F228" s="22">
        <f t="shared" si="229"/>
        <v>0.6</v>
      </c>
      <c r="I228" s="60">
        <v>114</v>
      </c>
      <c r="J228" s="21" t="s">
        <v>21</v>
      </c>
      <c r="K228" s="22">
        <f t="shared" si="195"/>
        <v>0.45454545454545453</v>
      </c>
      <c r="L228" s="22">
        <f t="shared" si="195"/>
        <v>0.6</v>
      </c>
      <c r="P228" s="24"/>
      <c r="Q228" s="24"/>
      <c r="R228" s="24"/>
      <c r="S228" s="24"/>
    </row>
    <row r="229" spans="1:19" x14ac:dyDescent="0.15">
      <c r="A229" s="60"/>
      <c r="B229" s="21" t="s">
        <v>22</v>
      </c>
      <c r="C229" s="21">
        <f>[60]PARS_utr_stat!B229</f>
        <v>6</v>
      </c>
      <c r="D229" s="21">
        <f>[60]PARS_utr_stat!C229</f>
        <v>2</v>
      </c>
      <c r="E229" s="22">
        <f t="shared" ref="E229:F229" si="230">C229/(C228+C229)</f>
        <v>0.54545454545454541</v>
      </c>
      <c r="F229" s="22">
        <f t="shared" si="230"/>
        <v>0.4</v>
      </c>
      <c r="I229" s="60"/>
      <c r="J229" s="21" t="s">
        <v>22</v>
      </c>
      <c r="K229" s="22">
        <f t="shared" si="195"/>
        <v>0.54545454545454541</v>
      </c>
      <c r="L229" s="22">
        <f t="shared" si="195"/>
        <v>0.4</v>
      </c>
      <c r="P229" s="24"/>
      <c r="Q229" s="24"/>
      <c r="R229" s="24"/>
      <c r="S229" s="24"/>
    </row>
    <row r="230" spans="1:19" x14ac:dyDescent="0.15">
      <c r="A230" s="60">
        <v>115</v>
      </c>
      <c r="B230" s="21" t="s">
        <v>21</v>
      </c>
      <c r="C230" s="21">
        <f>[60]PARS_utr_stat!B230</f>
        <v>1</v>
      </c>
      <c r="D230" s="21">
        <f>[60]PARS_utr_stat!C230</f>
        <v>4</v>
      </c>
      <c r="E230" s="22">
        <f t="shared" ref="E230:F230" si="231">C230/(C230+C231)</f>
        <v>0.25</v>
      </c>
      <c r="F230" s="22">
        <f t="shared" si="231"/>
        <v>0.5</v>
      </c>
      <c r="I230" s="60">
        <v>115</v>
      </c>
      <c r="J230" s="21" t="s">
        <v>21</v>
      </c>
      <c r="K230" s="22">
        <f t="shared" si="195"/>
        <v>0.25</v>
      </c>
      <c r="L230" s="22">
        <f t="shared" si="195"/>
        <v>0.5</v>
      </c>
      <c r="P230" s="24"/>
      <c r="Q230" s="24"/>
      <c r="R230" s="24"/>
      <c r="S230" s="24"/>
    </row>
    <row r="231" spans="1:19" x14ac:dyDescent="0.15">
      <c r="A231" s="60"/>
      <c r="B231" s="21" t="s">
        <v>22</v>
      </c>
      <c r="C231" s="21">
        <f>[60]PARS_utr_stat!B231</f>
        <v>3</v>
      </c>
      <c r="D231" s="21">
        <f>[60]PARS_utr_stat!C231</f>
        <v>4</v>
      </c>
      <c r="E231" s="22">
        <f t="shared" ref="E231:F231" si="232">C231/(C230+C231)</f>
        <v>0.75</v>
      </c>
      <c r="F231" s="22">
        <f t="shared" si="232"/>
        <v>0.5</v>
      </c>
      <c r="I231" s="60"/>
      <c r="J231" s="21" t="s">
        <v>22</v>
      </c>
      <c r="K231" s="22">
        <f t="shared" si="195"/>
        <v>0.75</v>
      </c>
      <c r="L231" s="22">
        <f t="shared" si="195"/>
        <v>0.5</v>
      </c>
      <c r="P231" s="24"/>
      <c r="Q231" s="24"/>
      <c r="R231" s="24"/>
      <c r="S231" s="24"/>
    </row>
    <row r="232" spans="1:19" x14ac:dyDescent="0.15">
      <c r="A232" s="60">
        <v>116</v>
      </c>
      <c r="B232" s="21" t="s">
        <v>21</v>
      </c>
      <c r="C232" s="21">
        <f>[60]PARS_utr_stat!B232</f>
        <v>3</v>
      </c>
      <c r="D232" s="21">
        <f>[60]PARS_utr_stat!C232</f>
        <v>5</v>
      </c>
      <c r="E232" s="22">
        <f t="shared" ref="E232:F232" si="233">C232/(C232+C233)</f>
        <v>0.5</v>
      </c>
      <c r="F232" s="22">
        <f t="shared" si="233"/>
        <v>0.83333333333333337</v>
      </c>
      <c r="I232" s="60">
        <v>116</v>
      </c>
      <c r="J232" s="21" t="s">
        <v>21</v>
      </c>
      <c r="K232" s="22">
        <f t="shared" si="195"/>
        <v>0.5</v>
      </c>
      <c r="L232" s="22">
        <f t="shared" si="195"/>
        <v>0.83333333333333337</v>
      </c>
      <c r="P232" s="24"/>
      <c r="Q232" s="24"/>
      <c r="R232" s="24"/>
      <c r="S232" s="24"/>
    </row>
    <row r="233" spans="1:19" x14ac:dyDescent="0.15">
      <c r="A233" s="60"/>
      <c r="B233" s="21" t="s">
        <v>22</v>
      </c>
      <c r="C233" s="21">
        <f>[60]PARS_utr_stat!B233</f>
        <v>3</v>
      </c>
      <c r="D233" s="21">
        <f>[60]PARS_utr_stat!C233</f>
        <v>1</v>
      </c>
      <c r="E233" s="22">
        <f t="shared" ref="E233:F233" si="234">C233/(C232+C233)</f>
        <v>0.5</v>
      </c>
      <c r="F233" s="22">
        <f t="shared" si="234"/>
        <v>0.16666666666666666</v>
      </c>
      <c r="I233" s="60"/>
      <c r="J233" s="21" t="s">
        <v>22</v>
      </c>
      <c r="K233" s="22">
        <f t="shared" si="195"/>
        <v>0.5</v>
      </c>
      <c r="L233" s="22">
        <f t="shared" si="195"/>
        <v>0.16666666666666666</v>
      </c>
      <c r="P233" s="24"/>
      <c r="Q233" s="24"/>
      <c r="R233" s="24"/>
      <c r="S233" s="24"/>
    </row>
    <row r="234" spans="1:19" x14ac:dyDescent="0.15">
      <c r="A234" s="60">
        <v>117</v>
      </c>
      <c r="B234" s="21" t="s">
        <v>21</v>
      </c>
      <c r="C234" s="21">
        <f>[60]PARS_utr_stat!B234</f>
        <v>4</v>
      </c>
      <c r="D234" s="21">
        <f>[60]PARS_utr_stat!C234</f>
        <v>5</v>
      </c>
      <c r="E234" s="22">
        <f t="shared" ref="E234:F234" si="235">C234/(C234+C235)</f>
        <v>0.66666666666666663</v>
      </c>
      <c r="F234" s="22">
        <f t="shared" si="235"/>
        <v>0.55555555555555558</v>
      </c>
      <c r="I234" s="60">
        <v>117</v>
      </c>
      <c r="J234" s="21" t="s">
        <v>21</v>
      </c>
      <c r="K234" s="22">
        <f t="shared" si="195"/>
        <v>0.66666666666666663</v>
      </c>
      <c r="L234" s="22">
        <f t="shared" si="195"/>
        <v>0.55555555555555558</v>
      </c>
      <c r="P234" s="24"/>
      <c r="Q234" s="24"/>
      <c r="R234" s="24"/>
      <c r="S234" s="24"/>
    </row>
    <row r="235" spans="1:19" x14ac:dyDescent="0.15">
      <c r="A235" s="60"/>
      <c r="B235" s="21" t="s">
        <v>22</v>
      </c>
      <c r="C235" s="21">
        <f>[60]PARS_utr_stat!B235</f>
        <v>2</v>
      </c>
      <c r="D235" s="21">
        <f>[60]PARS_utr_stat!C235</f>
        <v>4</v>
      </c>
      <c r="E235" s="22">
        <f t="shared" ref="E235:F235" si="236">C235/(C234+C235)</f>
        <v>0.33333333333333331</v>
      </c>
      <c r="F235" s="22">
        <f t="shared" si="236"/>
        <v>0.44444444444444442</v>
      </c>
      <c r="I235" s="60"/>
      <c r="J235" s="21" t="s">
        <v>22</v>
      </c>
      <c r="K235" s="22">
        <f t="shared" si="195"/>
        <v>0.33333333333333331</v>
      </c>
      <c r="L235" s="22">
        <f t="shared" si="195"/>
        <v>0.44444444444444442</v>
      </c>
      <c r="P235" s="24"/>
      <c r="Q235" s="24"/>
      <c r="R235" s="24"/>
      <c r="S235" s="24"/>
    </row>
    <row r="236" spans="1:19" x14ac:dyDescent="0.15">
      <c r="A236" s="60">
        <v>118</v>
      </c>
      <c r="B236" s="21" t="s">
        <v>21</v>
      </c>
      <c r="C236" s="21">
        <f>[60]PARS_utr_stat!B236</f>
        <v>7</v>
      </c>
      <c r="D236" s="21">
        <f>[60]PARS_utr_stat!C236</f>
        <v>6</v>
      </c>
      <c r="E236" s="22">
        <f t="shared" ref="E236:F236" si="237">C236/(C236+C237)</f>
        <v>0.4375</v>
      </c>
      <c r="F236" s="22">
        <f t="shared" si="237"/>
        <v>0.6</v>
      </c>
      <c r="I236" s="60">
        <v>118</v>
      </c>
      <c r="J236" s="21" t="s">
        <v>21</v>
      </c>
      <c r="K236" s="22">
        <f t="shared" si="195"/>
        <v>0.4375</v>
      </c>
      <c r="L236" s="22">
        <f t="shared" si="195"/>
        <v>0.6</v>
      </c>
      <c r="P236" s="24"/>
      <c r="Q236" s="24"/>
      <c r="R236" s="24"/>
      <c r="S236" s="24"/>
    </row>
    <row r="237" spans="1:19" x14ac:dyDescent="0.15">
      <c r="A237" s="60"/>
      <c r="B237" s="21" t="s">
        <v>22</v>
      </c>
      <c r="C237" s="21">
        <f>[60]PARS_utr_stat!B237</f>
        <v>9</v>
      </c>
      <c r="D237" s="21">
        <f>[60]PARS_utr_stat!C237</f>
        <v>4</v>
      </c>
      <c r="E237" s="22">
        <f t="shared" ref="E237:F237" si="238">C237/(C236+C237)</f>
        <v>0.5625</v>
      </c>
      <c r="F237" s="22">
        <f t="shared" si="238"/>
        <v>0.4</v>
      </c>
      <c r="I237" s="60"/>
      <c r="J237" s="21" t="s">
        <v>22</v>
      </c>
      <c r="K237" s="22">
        <f t="shared" si="195"/>
        <v>0.5625</v>
      </c>
      <c r="L237" s="22">
        <f t="shared" si="195"/>
        <v>0.4</v>
      </c>
      <c r="P237" s="24"/>
      <c r="Q237" s="24"/>
      <c r="R237" s="24"/>
      <c r="S237" s="24"/>
    </row>
    <row r="238" spans="1:19" x14ac:dyDescent="0.15">
      <c r="A238" s="60">
        <v>119</v>
      </c>
      <c r="B238" s="21" t="s">
        <v>21</v>
      </c>
      <c r="C238" s="21">
        <f>[60]PARS_utr_stat!B238</f>
        <v>15</v>
      </c>
      <c r="D238" s="21">
        <f>[60]PARS_utr_stat!C238</f>
        <v>7</v>
      </c>
      <c r="E238" s="22">
        <f t="shared" ref="E238:F238" si="239">C238/(C238+C239)</f>
        <v>0.57692307692307687</v>
      </c>
      <c r="F238" s="22">
        <f t="shared" si="239"/>
        <v>0.77777777777777779</v>
      </c>
      <c r="I238" s="60">
        <v>119</v>
      </c>
      <c r="J238" s="21" t="s">
        <v>21</v>
      </c>
      <c r="K238" s="22">
        <f t="shared" si="195"/>
        <v>0.57692307692307687</v>
      </c>
      <c r="L238" s="22">
        <f t="shared" si="195"/>
        <v>0.77777777777777779</v>
      </c>
      <c r="P238" s="24"/>
      <c r="Q238" s="24"/>
      <c r="R238" s="24"/>
      <c r="S238" s="24"/>
    </row>
    <row r="239" spans="1:19" x14ac:dyDescent="0.15">
      <c r="A239" s="60"/>
      <c r="B239" s="21" t="s">
        <v>22</v>
      </c>
      <c r="C239" s="21">
        <f>[60]PARS_utr_stat!B239</f>
        <v>11</v>
      </c>
      <c r="D239" s="21">
        <f>[60]PARS_utr_stat!C239</f>
        <v>2</v>
      </c>
      <c r="E239" s="22">
        <f t="shared" ref="E239:F239" si="240">C239/(C238+C239)</f>
        <v>0.42307692307692307</v>
      </c>
      <c r="F239" s="22">
        <f t="shared" si="240"/>
        <v>0.22222222222222221</v>
      </c>
      <c r="I239" s="60"/>
      <c r="J239" s="21" t="s">
        <v>22</v>
      </c>
      <c r="K239" s="22">
        <f t="shared" si="195"/>
        <v>0.42307692307692307</v>
      </c>
      <c r="L239" s="22">
        <f t="shared" si="195"/>
        <v>0.22222222222222221</v>
      </c>
      <c r="P239" s="24"/>
      <c r="Q239" s="24"/>
      <c r="R239" s="24"/>
      <c r="S239" s="24"/>
    </row>
    <row r="240" spans="1:19" x14ac:dyDescent="0.15">
      <c r="A240" s="60">
        <v>120</v>
      </c>
      <c r="B240" s="21" t="s">
        <v>21</v>
      </c>
      <c r="C240" s="21">
        <f>[60]PARS_utr_stat!B240</f>
        <v>3</v>
      </c>
      <c r="D240" s="21">
        <f>[60]PARS_utr_stat!C240</f>
        <v>4</v>
      </c>
      <c r="E240" s="22">
        <f t="shared" ref="E240:F240" si="241">C240/(C240+C241)</f>
        <v>0.75</v>
      </c>
      <c r="F240" s="22">
        <f t="shared" si="241"/>
        <v>0.8</v>
      </c>
      <c r="I240" s="60">
        <v>120</v>
      </c>
      <c r="J240" s="21" t="s">
        <v>21</v>
      </c>
      <c r="K240" s="22">
        <f t="shared" si="195"/>
        <v>0.75</v>
      </c>
      <c r="L240" s="22">
        <f t="shared" si="195"/>
        <v>0.8</v>
      </c>
      <c r="P240" s="24"/>
      <c r="Q240" s="24"/>
      <c r="R240" s="24"/>
      <c r="S240" s="24"/>
    </row>
    <row r="241" spans="1:19" x14ac:dyDescent="0.15">
      <c r="A241" s="60"/>
      <c r="B241" s="21" t="s">
        <v>22</v>
      </c>
      <c r="C241" s="21">
        <f>[60]PARS_utr_stat!B241</f>
        <v>1</v>
      </c>
      <c r="D241" s="21">
        <f>[60]PARS_utr_stat!C241</f>
        <v>1</v>
      </c>
      <c r="E241" s="22">
        <f t="shared" ref="E241:F241" si="242">C241/(C240+C241)</f>
        <v>0.25</v>
      </c>
      <c r="F241" s="22">
        <f t="shared" si="242"/>
        <v>0.2</v>
      </c>
      <c r="I241" s="60"/>
      <c r="J241" s="21" t="s">
        <v>22</v>
      </c>
      <c r="K241" s="22">
        <f t="shared" si="195"/>
        <v>0.25</v>
      </c>
      <c r="L241" s="22">
        <f t="shared" si="195"/>
        <v>0.2</v>
      </c>
      <c r="P241" s="24"/>
      <c r="Q241" s="24"/>
      <c r="R241" s="24"/>
      <c r="S241" s="24"/>
    </row>
    <row r="242" spans="1:19" x14ac:dyDescent="0.15">
      <c r="A242" s="60">
        <v>121</v>
      </c>
      <c r="B242" s="21" t="s">
        <v>21</v>
      </c>
      <c r="C242" s="21">
        <f>[60]PARS_utr_stat!B242</f>
        <v>5</v>
      </c>
      <c r="D242" s="21">
        <f>[60]PARS_utr_stat!C242</f>
        <v>3</v>
      </c>
      <c r="E242" s="22">
        <f t="shared" ref="E242:F242" si="243">C242/(C242+C243)</f>
        <v>0.45454545454545453</v>
      </c>
      <c r="F242" s="22">
        <f t="shared" si="243"/>
        <v>0.42857142857142855</v>
      </c>
      <c r="I242" s="60">
        <v>121</v>
      </c>
      <c r="J242" s="21" t="s">
        <v>21</v>
      </c>
      <c r="K242" s="22">
        <f t="shared" si="195"/>
        <v>0.45454545454545453</v>
      </c>
      <c r="L242" s="22">
        <f t="shared" si="195"/>
        <v>0.42857142857142855</v>
      </c>
      <c r="P242" s="24"/>
      <c r="Q242" s="24"/>
      <c r="R242" s="24"/>
      <c r="S242" s="24"/>
    </row>
    <row r="243" spans="1:19" x14ac:dyDescent="0.15">
      <c r="A243" s="60"/>
      <c r="B243" s="21" t="s">
        <v>22</v>
      </c>
      <c r="C243" s="21">
        <f>[60]PARS_utr_stat!B243</f>
        <v>6</v>
      </c>
      <c r="D243" s="21">
        <f>[60]PARS_utr_stat!C243</f>
        <v>4</v>
      </c>
      <c r="E243" s="22">
        <f t="shared" ref="E243:F243" si="244">C243/(C242+C243)</f>
        <v>0.54545454545454541</v>
      </c>
      <c r="F243" s="22">
        <f t="shared" si="244"/>
        <v>0.5714285714285714</v>
      </c>
      <c r="I243" s="60"/>
      <c r="J243" s="21" t="s">
        <v>22</v>
      </c>
      <c r="K243" s="22">
        <f t="shared" si="195"/>
        <v>0.54545454545454541</v>
      </c>
      <c r="L243" s="22">
        <f t="shared" si="195"/>
        <v>0.5714285714285714</v>
      </c>
      <c r="P243" s="24"/>
      <c r="Q243" s="24"/>
      <c r="R243" s="24"/>
      <c r="S243" s="24"/>
    </row>
    <row r="244" spans="1:19" x14ac:dyDescent="0.15">
      <c r="A244" s="60">
        <v>122</v>
      </c>
      <c r="B244" s="21" t="s">
        <v>21</v>
      </c>
      <c r="C244" s="21">
        <f>[60]PARS_utr_stat!B244</f>
        <v>9</v>
      </c>
      <c r="D244" s="21">
        <f>[60]PARS_utr_stat!C244</f>
        <v>10</v>
      </c>
      <c r="E244" s="22">
        <f t="shared" ref="E244:F244" si="245">C244/(C244+C245)</f>
        <v>0.69230769230769229</v>
      </c>
      <c r="F244" s="22">
        <f t="shared" si="245"/>
        <v>0.7142857142857143</v>
      </c>
      <c r="I244" s="60">
        <v>122</v>
      </c>
      <c r="J244" s="21" t="s">
        <v>21</v>
      </c>
      <c r="K244" s="22">
        <f t="shared" si="195"/>
        <v>0.69230769230769229</v>
      </c>
      <c r="L244" s="22">
        <f t="shared" si="195"/>
        <v>0.7142857142857143</v>
      </c>
      <c r="P244" s="24"/>
      <c r="Q244" s="24"/>
      <c r="R244" s="24"/>
      <c r="S244" s="24"/>
    </row>
    <row r="245" spans="1:19" x14ac:dyDescent="0.15">
      <c r="A245" s="60"/>
      <c r="B245" s="21" t="s">
        <v>22</v>
      </c>
      <c r="C245" s="21">
        <f>[60]PARS_utr_stat!B245</f>
        <v>4</v>
      </c>
      <c r="D245" s="21">
        <f>[60]PARS_utr_stat!C245</f>
        <v>4</v>
      </c>
      <c r="E245" s="22">
        <f t="shared" ref="E245:F245" si="246">C245/(C244+C245)</f>
        <v>0.30769230769230771</v>
      </c>
      <c r="F245" s="22">
        <f t="shared" si="246"/>
        <v>0.2857142857142857</v>
      </c>
      <c r="I245" s="60"/>
      <c r="J245" s="21" t="s">
        <v>22</v>
      </c>
      <c r="K245" s="22">
        <f t="shared" si="195"/>
        <v>0.30769230769230771</v>
      </c>
      <c r="L245" s="22">
        <f t="shared" si="195"/>
        <v>0.2857142857142857</v>
      </c>
      <c r="P245" s="24"/>
      <c r="Q245" s="24"/>
      <c r="R245" s="24"/>
      <c r="S245" s="24"/>
    </row>
    <row r="246" spans="1:19" x14ac:dyDescent="0.15">
      <c r="A246" s="60">
        <v>123</v>
      </c>
      <c r="B246" s="21" t="s">
        <v>21</v>
      </c>
      <c r="C246" s="21">
        <f>[60]PARS_utr_stat!B246</f>
        <v>14</v>
      </c>
      <c r="D246" s="21">
        <f>[60]PARS_utr_stat!C246</f>
        <v>4</v>
      </c>
      <c r="E246" s="22">
        <f t="shared" ref="E246:F246" si="247">C246/(C246+C247)</f>
        <v>0.77777777777777779</v>
      </c>
      <c r="F246" s="22">
        <f t="shared" si="247"/>
        <v>0.4</v>
      </c>
      <c r="I246" s="60">
        <v>123</v>
      </c>
      <c r="J246" s="21" t="s">
        <v>21</v>
      </c>
      <c r="K246" s="22">
        <f t="shared" si="195"/>
        <v>0.77777777777777779</v>
      </c>
      <c r="L246" s="22">
        <f t="shared" si="195"/>
        <v>0.4</v>
      </c>
      <c r="P246" s="24"/>
      <c r="Q246" s="24"/>
      <c r="R246" s="24"/>
      <c r="S246" s="24"/>
    </row>
    <row r="247" spans="1:19" x14ac:dyDescent="0.15">
      <c r="A247" s="60"/>
      <c r="B247" s="21" t="s">
        <v>22</v>
      </c>
      <c r="C247" s="21">
        <f>[60]PARS_utr_stat!B247</f>
        <v>4</v>
      </c>
      <c r="D247" s="21">
        <f>[60]PARS_utr_stat!C247</f>
        <v>6</v>
      </c>
      <c r="E247" s="22">
        <f t="shared" ref="E247:F247" si="248">C247/(C246+C247)</f>
        <v>0.22222222222222221</v>
      </c>
      <c r="F247" s="22">
        <f t="shared" si="248"/>
        <v>0.6</v>
      </c>
      <c r="I247" s="60"/>
      <c r="J247" s="21" t="s">
        <v>22</v>
      </c>
      <c r="K247" s="22">
        <f t="shared" si="195"/>
        <v>0.22222222222222221</v>
      </c>
      <c r="L247" s="22">
        <f t="shared" si="195"/>
        <v>0.6</v>
      </c>
      <c r="P247" s="24"/>
      <c r="Q247" s="24"/>
      <c r="R247" s="24"/>
      <c r="S247" s="24"/>
    </row>
    <row r="248" spans="1:19" x14ac:dyDescent="0.15">
      <c r="A248" s="60">
        <v>124</v>
      </c>
      <c r="B248" s="21" t="s">
        <v>21</v>
      </c>
      <c r="C248" s="21">
        <f>[60]PARS_utr_stat!B248</f>
        <v>17</v>
      </c>
      <c r="D248" s="21">
        <f>[60]PARS_utr_stat!C248</f>
        <v>6</v>
      </c>
      <c r="E248" s="22">
        <f t="shared" ref="E248:F248" si="249">C248/(C248+C249)</f>
        <v>0.80952380952380953</v>
      </c>
      <c r="F248" s="22">
        <f t="shared" si="249"/>
        <v>0.46153846153846156</v>
      </c>
      <c r="I248" s="60">
        <v>124</v>
      </c>
      <c r="J248" s="21" t="s">
        <v>21</v>
      </c>
      <c r="K248" s="22">
        <f t="shared" si="195"/>
        <v>0.80952380952380953</v>
      </c>
      <c r="L248" s="22">
        <f t="shared" si="195"/>
        <v>0.46153846153846156</v>
      </c>
      <c r="P248" s="24"/>
      <c r="Q248" s="24"/>
      <c r="R248" s="24"/>
      <c r="S248" s="24"/>
    </row>
    <row r="249" spans="1:19" x14ac:dyDescent="0.15">
      <c r="A249" s="60"/>
      <c r="B249" s="21" t="s">
        <v>22</v>
      </c>
      <c r="C249" s="21">
        <f>[60]PARS_utr_stat!B249</f>
        <v>4</v>
      </c>
      <c r="D249" s="21">
        <f>[60]PARS_utr_stat!C249</f>
        <v>7</v>
      </c>
      <c r="E249" s="22">
        <f t="shared" ref="E249:F249" si="250">C249/(C248+C249)</f>
        <v>0.19047619047619047</v>
      </c>
      <c r="F249" s="22">
        <f t="shared" si="250"/>
        <v>0.53846153846153844</v>
      </c>
      <c r="I249" s="60"/>
      <c r="J249" s="21" t="s">
        <v>22</v>
      </c>
      <c r="K249" s="22">
        <f t="shared" si="195"/>
        <v>0.19047619047619047</v>
      </c>
      <c r="L249" s="22">
        <f t="shared" si="195"/>
        <v>0.53846153846153844</v>
      </c>
      <c r="P249" s="24"/>
      <c r="Q249" s="24"/>
      <c r="R249" s="24"/>
      <c r="S249" s="24"/>
    </row>
    <row r="250" spans="1:19" x14ac:dyDescent="0.15">
      <c r="A250" s="60">
        <v>125</v>
      </c>
      <c r="B250" s="21" t="s">
        <v>21</v>
      </c>
      <c r="C250" s="21">
        <f>[60]PARS_utr_stat!B250</f>
        <v>26</v>
      </c>
      <c r="D250" s="21">
        <f>[60]PARS_utr_stat!C250</f>
        <v>9</v>
      </c>
      <c r="E250" s="22">
        <f t="shared" ref="E250:F250" si="251">C250/(C250+C251)</f>
        <v>0.78787878787878785</v>
      </c>
      <c r="F250" s="22">
        <f t="shared" si="251"/>
        <v>0.52941176470588236</v>
      </c>
      <c r="I250" s="60">
        <v>125</v>
      </c>
      <c r="J250" s="21" t="s">
        <v>21</v>
      </c>
      <c r="K250" s="22">
        <f t="shared" si="195"/>
        <v>0.78787878787878785</v>
      </c>
      <c r="L250" s="22">
        <f t="shared" si="195"/>
        <v>0.52941176470588236</v>
      </c>
      <c r="P250" s="24"/>
      <c r="Q250" s="24"/>
      <c r="R250" s="24"/>
      <c r="S250" s="24"/>
    </row>
    <row r="251" spans="1:19" x14ac:dyDescent="0.15">
      <c r="A251" s="60"/>
      <c r="B251" s="21" t="s">
        <v>22</v>
      </c>
      <c r="C251" s="21">
        <f>[60]PARS_utr_stat!B251</f>
        <v>7</v>
      </c>
      <c r="D251" s="21">
        <f>[60]PARS_utr_stat!C251</f>
        <v>8</v>
      </c>
      <c r="E251" s="22">
        <f t="shared" ref="E251:F251" si="252">C251/(C250+C251)</f>
        <v>0.21212121212121213</v>
      </c>
      <c r="F251" s="22">
        <f t="shared" si="252"/>
        <v>0.47058823529411764</v>
      </c>
      <c r="I251" s="60"/>
      <c r="J251" s="21" t="s">
        <v>22</v>
      </c>
      <c r="K251" s="22">
        <f t="shared" si="195"/>
        <v>0.21212121212121213</v>
      </c>
      <c r="L251" s="22">
        <f t="shared" si="195"/>
        <v>0.47058823529411764</v>
      </c>
      <c r="P251" s="24"/>
      <c r="Q251" s="24"/>
      <c r="R251" s="24"/>
      <c r="S251" s="24"/>
    </row>
    <row r="252" spans="1:19" x14ac:dyDescent="0.15">
      <c r="A252" s="60">
        <v>126</v>
      </c>
      <c r="B252" s="21" t="s">
        <v>21</v>
      </c>
      <c r="C252" s="21">
        <f>[60]PARS_utr_stat!B252</f>
        <v>18</v>
      </c>
      <c r="D252" s="21">
        <f>[60]PARS_utr_stat!C252</f>
        <v>22</v>
      </c>
      <c r="E252" s="22">
        <f t="shared" ref="E252:F252" si="253">C252/(C252+C253)</f>
        <v>0.48648648648648651</v>
      </c>
      <c r="F252" s="22">
        <f t="shared" si="253"/>
        <v>0.6875</v>
      </c>
      <c r="I252" s="60">
        <v>126</v>
      </c>
      <c r="J252" s="21" t="s">
        <v>21</v>
      </c>
      <c r="K252" s="22">
        <f t="shared" si="195"/>
        <v>0.48648648648648651</v>
      </c>
      <c r="L252" s="22">
        <f t="shared" si="195"/>
        <v>0.6875</v>
      </c>
      <c r="P252" s="24"/>
      <c r="Q252" s="24"/>
      <c r="R252" s="24"/>
      <c r="S252" s="24"/>
    </row>
    <row r="253" spans="1:19" x14ac:dyDescent="0.15">
      <c r="A253" s="60"/>
      <c r="B253" s="21" t="s">
        <v>22</v>
      </c>
      <c r="C253" s="21">
        <f>[60]PARS_utr_stat!B253</f>
        <v>19</v>
      </c>
      <c r="D253" s="21">
        <f>[60]PARS_utr_stat!C253</f>
        <v>10</v>
      </c>
      <c r="E253" s="22">
        <f t="shared" ref="E253:F253" si="254">C253/(C252+C253)</f>
        <v>0.51351351351351349</v>
      </c>
      <c r="F253" s="22">
        <f t="shared" si="254"/>
        <v>0.3125</v>
      </c>
      <c r="I253" s="60"/>
      <c r="J253" s="21" t="s">
        <v>22</v>
      </c>
      <c r="K253" s="22">
        <f t="shared" si="195"/>
        <v>0.51351351351351349</v>
      </c>
      <c r="L253" s="22">
        <f t="shared" si="195"/>
        <v>0.3125</v>
      </c>
      <c r="P253" s="24"/>
      <c r="Q253" s="24"/>
      <c r="R253" s="24"/>
      <c r="S253" s="24"/>
    </row>
    <row r="254" spans="1:19" x14ac:dyDescent="0.15">
      <c r="A254" s="60">
        <v>127</v>
      </c>
      <c r="B254" s="21" t="s">
        <v>21</v>
      </c>
      <c r="C254" s="21">
        <f>[60]PARS_utr_stat!B254</f>
        <v>45</v>
      </c>
      <c r="D254" s="21">
        <f>[60]PARS_utr_stat!C254</f>
        <v>33</v>
      </c>
      <c r="E254" s="22">
        <f t="shared" ref="E254:F254" si="255">C254/(C254+C255)</f>
        <v>0.51724137931034486</v>
      </c>
      <c r="F254" s="22">
        <f t="shared" si="255"/>
        <v>0.6</v>
      </c>
      <c r="I254" s="60">
        <v>127</v>
      </c>
      <c r="J254" s="21" t="s">
        <v>21</v>
      </c>
      <c r="K254" s="22">
        <f t="shared" si="195"/>
        <v>0.51724137931034486</v>
      </c>
      <c r="L254" s="22">
        <f t="shared" si="195"/>
        <v>0.6</v>
      </c>
      <c r="P254" s="24"/>
      <c r="Q254" s="24"/>
      <c r="R254" s="24"/>
      <c r="S254" s="24"/>
    </row>
    <row r="255" spans="1:19" x14ac:dyDescent="0.15">
      <c r="A255" s="60"/>
      <c r="B255" s="21" t="s">
        <v>22</v>
      </c>
      <c r="C255" s="21">
        <f>[60]PARS_utr_stat!B255</f>
        <v>42</v>
      </c>
      <c r="D255" s="21">
        <f>[60]PARS_utr_stat!C255</f>
        <v>22</v>
      </c>
      <c r="E255" s="22">
        <f t="shared" ref="E255:F255" si="256">C255/(C254+C255)</f>
        <v>0.48275862068965519</v>
      </c>
      <c r="F255" s="22">
        <f t="shared" si="256"/>
        <v>0.4</v>
      </c>
      <c r="I255" s="60"/>
      <c r="J255" s="21" t="s">
        <v>22</v>
      </c>
      <c r="K255" s="22">
        <f t="shared" si="195"/>
        <v>0.48275862068965519</v>
      </c>
      <c r="L255" s="22">
        <f t="shared" si="195"/>
        <v>0.4</v>
      </c>
      <c r="P255" s="24"/>
      <c r="Q255" s="24"/>
      <c r="R255" s="24"/>
      <c r="S255" s="24"/>
    </row>
  </sheetData>
  <mergeCells count="256">
    <mergeCell ref="P1:Q1"/>
    <mergeCell ref="R1:S1"/>
    <mergeCell ref="A2:A3"/>
    <mergeCell ref="I2:I3"/>
    <mergeCell ref="A4:A5"/>
    <mergeCell ref="I4:I5"/>
    <mergeCell ref="A12:A13"/>
    <mergeCell ref="I12:I13"/>
    <mergeCell ref="A14:A15"/>
    <mergeCell ref="I14:I15"/>
    <mergeCell ref="A16:A17"/>
    <mergeCell ref="I16:I17"/>
    <mergeCell ref="A6:A7"/>
    <mergeCell ref="I6:I7"/>
    <mergeCell ref="A8:A9"/>
    <mergeCell ref="I8:I9"/>
    <mergeCell ref="A10:A11"/>
    <mergeCell ref="I10:I11"/>
    <mergeCell ref="A24:A25"/>
    <mergeCell ref="I24:I25"/>
    <mergeCell ref="A26:A27"/>
    <mergeCell ref="I26:I27"/>
    <mergeCell ref="A28:A29"/>
    <mergeCell ref="I28:I29"/>
    <mergeCell ref="A18:A19"/>
    <mergeCell ref="I18:I19"/>
    <mergeCell ref="A20:A21"/>
    <mergeCell ref="I20:I21"/>
    <mergeCell ref="A22:A23"/>
    <mergeCell ref="I22:I23"/>
    <mergeCell ref="A36:A37"/>
    <mergeCell ref="I36:I37"/>
    <mergeCell ref="A38:A39"/>
    <mergeCell ref="I38:I39"/>
    <mergeCell ref="A40:A41"/>
    <mergeCell ref="I40:I41"/>
    <mergeCell ref="A30:A31"/>
    <mergeCell ref="I30:I31"/>
    <mergeCell ref="A32:A33"/>
    <mergeCell ref="I32:I33"/>
    <mergeCell ref="A34:A35"/>
    <mergeCell ref="I34:I35"/>
    <mergeCell ref="A48:A49"/>
    <mergeCell ref="I48:I49"/>
    <mergeCell ref="A50:A51"/>
    <mergeCell ref="I50:I51"/>
    <mergeCell ref="A52:A53"/>
    <mergeCell ref="I52:I53"/>
    <mergeCell ref="A42:A43"/>
    <mergeCell ref="I42:I43"/>
    <mergeCell ref="A44:A45"/>
    <mergeCell ref="I44:I45"/>
    <mergeCell ref="A46:A47"/>
    <mergeCell ref="I46:I47"/>
    <mergeCell ref="A60:A61"/>
    <mergeCell ref="I60:I61"/>
    <mergeCell ref="A62:A63"/>
    <mergeCell ref="I62:I63"/>
    <mergeCell ref="A64:A65"/>
    <mergeCell ref="I64:I65"/>
    <mergeCell ref="A54:A55"/>
    <mergeCell ref="I54:I55"/>
    <mergeCell ref="A56:A57"/>
    <mergeCell ref="I56:I57"/>
    <mergeCell ref="A58:A59"/>
    <mergeCell ref="I58:I59"/>
    <mergeCell ref="A72:A73"/>
    <mergeCell ref="I72:I73"/>
    <mergeCell ref="A74:A75"/>
    <mergeCell ref="I74:I75"/>
    <mergeCell ref="A76:A77"/>
    <mergeCell ref="I76:I77"/>
    <mergeCell ref="A66:A67"/>
    <mergeCell ref="I66:I67"/>
    <mergeCell ref="A68:A69"/>
    <mergeCell ref="I68:I69"/>
    <mergeCell ref="A70:A71"/>
    <mergeCell ref="I70:I71"/>
    <mergeCell ref="A84:A85"/>
    <mergeCell ref="I84:I85"/>
    <mergeCell ref="A86:A87"/>
    <mergeCell ref="I86:I87"/>
    <mergeCell ref="A88:A89"/>
    <mergeCell ref="I88:I89"/>
    <mergeCell ref="A78:A79"/>
    <mergeCell ref="I78:I79"/>
    <mergeCell ref="A80:A81"/>
    <mergeCell ref="I80:I81"/>
    <mergeCell ref="A82:A83"/>
    <mergeCell ref="I82:I83"/>
    <mergeCell ref="A96:A97"/>
    <mergeCell ref="I96:I97"/>
    <mergeCell ref="A98:A99"/>
    <mergeCell ref="I98:I99"/>
    <mergeCell ref="A100:A101"/>
    <mergeCell ref="I100:I101"/>
    <mergeCell ref="A90:A91"/>
    <mergeCell ref="I90:I91"/>
    <mergeCell ref="A92:A93"/>
    <mergeCell ref="I92:I93"/>
    <mergeCell ref="A94:A95"/>
    <mergeCell ref="I94:I95"/>
    <mergeCell ref="A108:A109"/>
    <mergeCell ref="I108:I109"/>
    <mergeCell ref="A110:A111"/>
    <mergeCell ref="I110:I111"/>
    <mergeCell ref="A112:A113"/>
    <mergeCell ref="I112:I113"/>
    <mergeCell ref="A102:A103"/>
    <mergeCell ref="I102:I103"/>
    <mergeCell ref="A104:A105"/>
    <mergeCell ref="I104:I105"/>
    <mergeCell ref="A106:A107"/>
    <mergeCell ref="I106:I107"/>
    <mergeCell ref="A120:A121"/>
    <mergeCell ref="I120:I121"/>
    <mergeCell ref="A122:A123"/>
    <mergeCell ref="I122:I123"/>
    <mergeCell ref="A124:A125"/>
    <mergeCell ref="I124:I125"/>
    <mergeCell ref="A114:A115"/>
    <mergeCell ref="I114:I115"/>
    <mergeCell ref="A116:A117"/>
    <mergeCell ref="I116:I117"/>
    <mergeCell ref="A118:A119"/>
    <mergeCell ref="I118:I119"/>
    <mergeCell ref="A132:A133"/>
    <mergeCell ref="I132:I133"/>
    <mergeCell ref="A134:A135"/>
    <mergeCell ref="I134:I135"/>
    <mergeCell ref="A136:A137"/>
    <mergeCell ref="I136:I137"/>
    <mergeCell ref="A126:A127"/>
    <mergeCell ref="I126:I127"/>
    <mergeCell ref="A128:A129"/>
    <mergeCell ref="I128:I129"/>
    <mergeCell ref="A130:A131"/>
    <mergeCell ref="I130:I131"/>
    <mergeCell ref="A144:A145"/>
    <mergeCell ref="I144:I145"/>
    <mergeCell ref="A146:A147"/>
    <mergeCell ref="I146:I147"/>
    <mergeCell ref="A148:A149"/>
    <mergeCell ref="I148:I149"/>
    <mergeCell ref="A138:A139"/>
    <mergeCell ref="I138:I139"/>
    <mergeCell ref="A140:A141"/>
    <mergeCell ref="I140:I141"/>
    <mergeCell ref="A142:A143"/>
    <mergeCell ref="I142:I143"/>
    <mergeCell ref="A156:A157"/>
    <mergeCell ref="I156:I157"/>
    <mergeCell ref="A158:A159"/>
    <mergeCell ref="I158:I159"/>
    <mergeCell ref="A160:A161"/>
    <mergeCell ref="I160:I161"/>
    <mergeCell ref="A150:A151"/>
    <mergeCell ref="I150:I151"/>
    <mergeCell ref="A152:A153"/>
    <mergeCell ref="I152:I153"/>
    <mergeCell ref="A154:A155"/>
    <mergeCell ref="I154:I155"/>
    <mergeCell ref="A168:A169"/>
    <mergeCell ref="I168:I169"/>
    <mergeCell ref="A170:A171"/>
    <mergeCell ref="I170:I171"/>
    <mergeCell ref="A172:A173"/>
    <mergeCell ref="I172:I173"/>
    <mergeCell ref="A162:A163"/>
    <mergeCell ref="I162:I163"/>
    <mergeCell ref="A164:A165"/>
    <mergeCell ref="I164:I165"/>
    <mergeCell ref="A166:A167"/>
    <mergeCell ref="I166:I167"/>
    <mergeCell ref="A180:A181"/>
    <mergeCell ref="I180:I181"/>
    <mergeCell ref="A182:A183"/>
    <mergeCell ref="I182:I183"/>
    <mergeCell ref="A184:A185"/>
    <mergeCell ref="I184:I185"/>
    <mergeCell ref="A174:A175"/>
    <mergeCell ref="I174:I175"/>
    <mergeCell ref="A176:A177"/>
    <mergeCell ref="I176:I177"/>
    <mergeCell ref="A178:A179"/>
    <mergeCell ref="I178:I179"/>
    <mergeCell ref="A192:A193"/>
    <mergeCell ref="I192:I193"/>
    <mergeCell ref="A194:A195"/>
    <mergeCell ref="I194:I195"/>
    <mergeCell ref="A196:A197"/>
    <mergeCell ref="I196:I197"/>
    <mergeCell ref="A186:A187"/>
    <mergeCell ref="I186:I187"/>
    <mergeCell ref="A188:A189"/>
    <mergeCell ref="I188:I189"/>
    <mergeCell ref="A190:A191"/>
    <mergeCell ref="I190:I191"/>
    <mergeCell ref="A204:A205"/>
    <mergeCell ref="I204:I205"/>
    <mergeCell ref="A206:A207"/>
    <mergeCell ref="I206:I207"/>
    <mergeCell ref="A208:A209"/>
    <mergeCell ref="I208:I209"/>
    <mergeCell ref="A198:A199"/>
    <mergeCell ref="I198:I199"/>
    <mergeCell ref="A200:A201"/>
    <mergeCell ref="I200:I201"/>
    <mergeCell ref="A202:A203"/>
    <mergeCell ref="I202:I203"/>
    <mergeCell ref="A216:A217"/>
    <mergeCell ref="I216:I217"/>
    <mergeCell ref="A218:A219"/>
    <mergeCell ref="I218:I219"/>
    <mergeCell ref="A220:A221"/>
    <mergeCell ref="I220:I221"/>
    <mergeCell ref="A210:A211"/>
    <mergeCell ref="I210:I211"/>
    <mergeCell ref="A212:A213"/>
    <mergeCell ref="I212:I213"/>
    <mergeCell ref="A214:A215"/>
    <mergeCell ref="I214:I215"/>
    <mergeCell ref="A228:A229"/>
    <mergeCell ref="I228:I229"/>
    <mergeCell ref="A230:A231"/>
    <mergeCell ref="I230:I231"/>
    <mergeCell ref="A232:A233"/>
    <mergeCell ref="I232:I233"/>
    <mergeCell ref="A222:A223"/>
    <mergeCell ref="I222:I223"/>
    <mergeCell ref="A224:A225"/>
    <mergeCell ref="I224:I225"/>
    <mergeCell ref="A226:A227"/>
    <mergeCell ref="I226:I227"/>
    <mergeCell ref="A240:A241"/>
    <mergeCell ref="I240:I241"/>
    <mergeCell ref="A242:A243"/>
    <mergeCell ref="I242:I243"/>
    <mergeCell ref="A244:A245"/>
    <mergeCell ref="I244:I245"/>
    <mergeCell ref="A234:A235"/>
    <mergeCell ref="I234:I235"/>
    <mergeCell ref="A236:A237"/>
    <mergeCell ref="I236:I237"/>
    <mergeCell ref="A238:A239"/>
    <mergeCell ref="I238:I239"/>
    <mergeCell ref="A252:A253"/>
    <mergeCell ref="I252:I253"/>
    <mergeCell ref="A254:A255"/>
    <mergeCell ref="I254:I255"/>
    <mergeCell ref="A246:A247"/>
    <mergeCell ref="I246:I247"/>
    <mergeCell ref="A248:A249"/>
    <mergeCell ref="I248:I249"/>
    <mergeCell ref="A250:A251"/>
    <mergeCell ref="I250:I25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opLeftCell="J1" workbookViewId="0">
      <selection activeCell="H8" sqref="H8"/>
    </sheetView>
  </sheetViews>
  <sheetFormatPr baseColWidth="10" defaultRowHeight="15" x14ac:dyDescent="0.15"/>
  <cols>
    <col min="1" max="1" width="10.83203125" style="21"/>
    <col min="2" max="2" width="11.1640625" style="21" customWidth="1"/>
    <col min="3" max="4" width="10.83203125" style="21"/>
    <col min="5" max="8" width="13.1640625" style="22" customWidth="1"/>
    <col min="9" max="10" width="10.83203125" style="21"/>
    <col min="11" max="12" width="13.1640625" style="22" customWidth="1"/>
    <col min="15" max="15" width="10.83203125" style="21" customWidth="1"/>
    <col min="16" max="19" width="11.83203125" style="7" customWidth="1"/>
  </cols>
  <sheetData>
    <row r="1" spans="1:19" x14ac:dyDescent="0.15">
      <c r="A1" s="21" t="s">
        <v>62</v>
      </c>
      <c r="B1" s="21" t="s">
        <v>19</v>
      </c>
      <c r="C1" s="21" t="str">
        <f>[63]PARS_nsy_stat!B1</f>
        <v>AT_GC</v>
      </c>
      <c r="D1" s="21" t="str">
        <f>[63]PARS_nsy_stat!C1</f>
        <v>GC_AT</v>
      </c>
      <c r="E1" s="22" t="s">
        <v>46</v>
      </c>
      <c r="F1" s="22" t="s">
        <v>71</v>
      </c>
      <c r="I1" s="21" t="s">
        <v>23</v>
      </c>
      <c r="J1" s="21" t="s">
        <v>19</v>
      </c>
      <c r="K1" s="22" t="s">
        <v>44</v>
      </c>
      <c r="L1" s="22" t="s">
        <v>45</v>
      </c>
      <c r="P1" s="61" t="s">
        <v>76</v>
      </c>
      <c r="Q1" s="61"/>
      <c r="R1" s="61" t="s">
        <v>77</v>
      </c>
      <c r="S1" s="61"/>
    </row>
    <row r="2" spans="1:19" x14ac:dyDescent="0.15">
      <c r="A2" s="60">
        <v>1</v>
      </c>
      <c r="B2" s="21" t="s">
        <v>21</v>
      </c>
      <c r="C2" s="21">
        <f>[64]PARS_nsy_stat!B2</f>
        <v>747</v>
      </c>
      <c r="D2" s="21">
        <f>[64]PARS_nsy_stat!C2</f>
        <v>1287</v>
      </c>
      <c r="E2" s="22">
        <f>C2/(C2+C3)</f>
        <v>0.52605633802816898</v>
      </c>
      <c r="F2" s="22">
        <f>D2/(D2+D3)</f>
        <v>0.66926677067082685</v>
      </c>
      <c r="I2" s="60">
        <v>1</v>
      </c>
      <c r="J2" s="21" t="s">
        <v>47</v>
      </c>
      <c r="K2" s="22">
        <f t="shared" ref="K2:L65" si="0">E2</f>
        <v>0.52605633802816898</v>
      </c>
      <c r="L2" s="22">
        <f t="shared" si="0"/>
        <v>0.66926677067082685</v>
      </c>
      <c r="O2" s="21" t="s">
        <v>23</v>
      </c>
      <c r="P2" s="7" t="s">
        <v>72</v>
      </c>
      <c r="Q2" s="7" t="s">
        <v>73</v>
      </c>
      <c r="R2" s="7" t="s">
        <v>74</v>
      </c>
      <c r="S2" s="7" t="s">
        <v>75</v>
      </c>
    </row>
    <row r="3" spans="1:19" x14ac:dyDescent="0.15">
      <c r="A3" s="60"/>
      <c r="B3" s="21" t="s">
        <v>22</v>
      </c>
      <c r="C3" s="21">
        <f>[64]PARS_nsy_stat!B3</f>
        <v>673</v>
      </c>
      <c r="D3" s="21">
        <f>[64]PARS_nsy_stat!C3</f>
        <v>636</v>
      </c>
      <c r="E3" s="22">
        <f>C3/(C2+C3)</f>
        <v>0.47394366197183097</v>
      </c>
      <c r="F3" s="22">
        <f>D3/(D2+D3)</f>
        <v>0.33073322932917315</v>
      </c>
      <c r="I3" s="60"/>
      <c r="J3" s="21" t="s">
        <v>22</v>
      </c>
      <c r="K3" s="22">
        <f t="shared" si="0"/>
        <v>0.47394366197183097</v>
      </c>
      <c r="L3" s="22">
        <f t="shared" si="0"/>
        <v>0.33073322932917315</v>
      </c>
      <c r="O3" s="21">
        <v>1</v>
      </c>
      <c r="P3" s="7">
        <f ca="1">INDIRECT("K"&amp;ROW(K1)*2)</f>
        <v>0.52605633802816898</v>
      </c>
      <c r="Q3" s="7">
        <f ca="1">INDIRECT("K"&amp;ROW(J1)*2+1)</f>
        <v>0.47394366197183097</v>
      </c>
      <c r="R3" s="7">
        <f ca="1">INDIRECT("l"&amp;ROW(L1)*2)</f>
        <v>0.66926677067082685</v>
      </c>
      <c r="S3" s="7">
        <f ca="1">INDIRECT("l"&amp;ROW(L1)*2+1)</f>
        <v>0.33073322932917315</v>
      </c>
    </row>
    <row r="4" spans="1:19" x14ac:dyDescent="0.15">
      <c r="A4" s="60">
        <v>2</v>
      </c>
      <c r="B4" s="21" t="s">
        <v>21</v>
      </c>
      <c r="C4" s="21">
        <f>[64]PARS_nsy_stat!B4</f>
        <v>330</v>
      </c>
      <c r="D4" s="21">
        <f>[64]PARS_nsy_stat!C4</f>
        <v>574</v>
      </c>
      <c r="E4" s="22">
        <f>C4/(C4+C5)</f>
        <v>0.52132701421800953</v>
      </c>
      <c r="F4" s="22">
        <f>D4/(D4+D5)</f>
        <v>0.68171021377672214</v>
      </c>
      <c r="I4" s="60">
        <v>2</v>
      </c>
      <c r="J4" s="21" t="s">
        <v>21</v>
      </c>
      <c r="K4" s="22">
        <f t="shared" si="0"/>
        <v>0.52132701421800953</v>
      </c>
      <c r="L4" s="22">
        <f t="shared" si="0"/>
        <v>0.68171021377672214</v>
      </c>
      <c r="O4" s="21">
        <v>2</v>
      </c>
      <c r="P4" s="7">
        <f ca="1">INDIRECT("K"&amp;ROW(K2)*2)</f>
        <v>0.52132701421800953</v>
      </c>
      <c r="Q4" s="7">
        <f ca="1">INDIRECT("K"&amp;ROW(J2)*2+1)</f>
        <v>0.47867298578199052</v>
      </c>
      <c r="R4" s="7">
        <f t="shared" ref="R4:R67" ca="1" si="1">INDIRECT("l"&amp;ROW(L2)*2)</f>
        <v>0.68171021377672214</v>
      </c>
      <c r="S4" s="7">
        <f t="shared" ref="S4:S67" ca="1" si="2">INDIRECT("l"&amp;ROW(L2)*2+1)</f>
        <v>0.31828978622327792</v>
      </c>
    </row>
    <row r="5" spans="1:19" x14ac:dyDescent="0.15">
      <c r="A5" s="60"/>
      <c r="B5" s="21" t="s">
        <v>22</v>
      </c>
      <c r="C5" s="21">
        <f>[64]PARS_nsy_stat!B5</f>
        <v>303</v>
      </c>
      <c r="D5" s="21">
        <f>[64]PARS_nsy_stat!C5</f>
        <v>268</v>
      </c>
      <c r="E5" s="22">
        <f>C5/(C4+C5)</f>
        <v>0.47867298578199052</v>
      </c>
      <c r="F5" s="22">
        <f>D5/(D4+D5)</f>
        <v>0.31828978622327792</v>
      </c>
      <c r="I5" s="60"/>
      <c r="J5" s="21" t="s">
        <v>22</v>
      </c>
      <c r="K5" s="22">
        <f t="shared" si="0"/>
        <v>0.47867298578199052</v>
      </c>
      <c r="L5" s="22">
        <f t="shared" si="0"/>
        <v>0.31828978622327792</v>
      </c>
      <c r="O5" s="21">
        <v>3</v>
      </c>
      <c r="P5" s="7">
        <f ca="1">INDIRECT("K"&amp;ROW(K3)*2)</f>
        <v>0.49690721649484537</v>
      </c>
      <c r="Q5" s="7">
        <f t="shared" ref="Q5:Q68" ca="1" si="3">INDIRECT("K"&amp;ROW(J3)*2+1)</f>
        <v>0.50309278350515463</v>
      </c>
      <c r="R5" s="7">
        <f t="shared" ca="1" si="1"/>
        <v>0.68256333830104321</v>
      </c>
      <c r="S5" s="7">
        <f t="shared" ca="1" si="2"/>
        <v>0.31743666169895679</v>
      </c>
    </row>
    <row r="6" spans="1:19" x14ac:dyDescent="0.15">
      <c r="A6" s="60">
        <v>3</v>
      </c>
      <c r="B6" s="21" t="s">
        <v>21</v>
      </c>
      <c r="C6" s="21">
        <f>[64]PARS_nsy_stat!B6</f>
        <v>241</v>
      </c>
      <c r="D6" s="21">
        <f>[64]PARS_nsy_stat!C6</f>
        <v>458</v>
      </c>
      <c r="E6" s="22">
        <f>C6/(C6+C7)</f>
        <v>0.49690721649484537</v>
      </c>
      <c r="F6" s="22">
        <f>D6/(D6+D7)</f>
        <v>0.68256333830104321</v>
      </c>
      <c r="I6" s="60">
        <v>3</v>
      </c>
      <c r="J6" s="21" t="s">
        <v>21</v>
      </c>
      <c r="K6" s="22">
        <f t="shared" si="0"/>
        <v>0.49690721649484537</v>
      </c>
      <c r="L6" s="22">
        <f t="shared" si="0"/>
        <v>0.68256333830104321</v>
      </c>
      <c r="O6" s="21">
        <v>4</v>
      </c>
      <c r="P6" s="7">
        <f t="shared" ref="P6:P8" ca="1" si="4">INDIRECT("K"&amp;ROW(K4)*2)</f>
        <v>0.5109717868338558</v>
      </c>
      <c r="Q6" s="7">
        <f t="shared" ca="1" si="3"/>
        <v>0.4890282131661442</v>
      </c>
      <c r="R6" s="7">
        <f t="shared" ca="1" si="1"/>
        <v>0.671875</v>
      </c>
      <c r="S6" s="7">
        <f t="shared" ca="1" si="2"/>
        <v>0.328125</v>
      </c>
    </row>
    <row r="7" spans="1:19" x14ac:dyDescent="0.15">
      <c r="A7" s="60"/>
      <c r="B7" s="21" t="s">
        <v>22</v>
      </c>
      <c r="C7" s="21">
        <f>[64]PARS_nsy_stat!B7</f>
        <v>244</v>
      </c>
      <c r="D7" s="21">
        <f>[64]PARS_nsy_stat!C7</f>
        <v>213</v>
      </c>
      <c r="E7" s="22">
        <f>C7/(C6+C7)</f>
        <v>0.50309278350515463</v>
      </c>
      <c r="F7" s="22">
        <f>D7/(D6+D7)</f>
        <v>0.31743666169895679</v>
      </c>
      <c r="I7" s="60"/>
      <c r="J7" s="21" t="s">
        <v>22</v>
      </c>
      <c r="K7" s="22">
        <f t="shared" si="0"/>
        <v>0.50309278350515463</v>
      </c>
      <c r="L7" s="22">
        <f t="shared" si="0"/>
        <v>0.31743666169895679</v>
      </c>
      <c r="O7" s="21">
        <v>5</v>
      </c>
      <c r="P7" s="7">
        <f t="shared" ca="1" si="4"/>
        <v>0.46724890829694321</v>
      </c>
      <c r="Q7" s="7">
        <f t="shared" ca="1" si="3"/>
        <v>0.53275109170305679</v>
      </c>
      <c r="R7" s="7">
        <f t="shared" ca="1" si="1"/>
        <v>0.64379084967320266</v>
      </c>
      <c r="S7" s="7">
        <f t="shared" ca="1" si="2"/>
        <v>0.3562091503267974</v>
      </c>
    </row>
    <row r="8" spans="1:19" x14ac:dyDescent="0.15">
      <c r="A8" s="60">
        <v>4</v>
      </c>
      <c r="B8" s="21" t="s">
        <v>21</v>
      </c>
      <c r="C8" s="21">
        <f>[64]PARS_nsy_stat!B8</f>
        <v>163</v>
      </c>
      <c r="D8" s="21">
        <f>[64]PARS_nsy_stat!C8</f>
        <v>301</v>
      </c>
      <c r="E8" s="22">
        <f>C8/(C8+C9)</f>
        <v>0.5109717868338558</v>
      </c>
      <c r="F8" s="22">
        <f>D8/(D8+D9)</f>
        <v>0.671875</v>
      </c>
      <c r="I8" s="60">
        <v>4</v>
      </c>
      <c r="J8" s="21" t="s">
        <v>21</v>
      </c>
      <c r="K8" s="22">
        <f t="shared" si="0"/>
        <v>0.5109717868338558</v>
      </c>
      <c r="L8" s="22">
        <f t="shared" si="0"/>
        <v>0.671875</v>
      </c>
      <c r="O8" s="21">
        <v>6</v>
      </c>
      <c r="P8" s="7">
        <f t="shared" ca="1" si="4"/>
        <v>0.53125</v>
      </c>
      <c r="Q8" s="7">
        <f t="shared" ca="1" si="3"/>
        <v>0.46875</v>
      </c>
      <c r="R8" s="7">
        <f t="shared" ca="1" si="1"/>
        <v>0.69321533923303835</v>
      </c>
      <c r="S8" s="7">
        <f t="shared" ca="1" si="2"/>
        <v>0.30678466076696165</v>
      </c>
    </row>
    <row r="9" spans="1:19" x14ac:dyDescent="0.15">
      <c r="A9" s="60"/>
      <c r="B9" s="21" t="s">
        <v>22</v>
      </c>
      <c r="C9" s="21">
        <f>[64]PARS_nsy_stat!B9</f>
        <v>156</v>
      </c>
      <c r="D9" s="21">
        <f>[64]PARS_nsy_stat!C9</f>
        <v>147</v>
      </c>
      <c r="E9" s="22">
        <f>C9/(C8+C9)</f>
        <v>0.4890282131661442</v>
      </c>
      <c r="F9" s="22">
        <f>D9/(D8+D9)</f>
        <v>0.328125</v>
      </c>
      <c r="I9" s="60"/>
      <c r="J9" s="21" t="s">
        <v>22</v>
      </c>
      <c r="K9" s="22">
        <f t="shared" si="0"/>
        <v>0.4890282131661442</v>
      </c>
      <c r="L9" s="22">
        <f t="shared" si="0"/>
        <v>0.328125</v>
      </c>
      <c r="O9" s="21">
        <v>7</v>
      </c>
      <c r="P9" s="7">
        <f ca="1">INDIRECT("K"&amp;ROW(K7)*2)</f>
        <v>0.48125000000000001</v>
      </c>
      <c r="Q9" s="7">
        <f t="shared" ca="1" si="3"/>
        <v>0.51875000000000004</v>
      </c>
      <c r="R9" s="7">
        <f t="shared" ca="1" si="1"/>
        <v>0.68571428571428572</v>
      </c>
      <c r="S9" s="7">
        <f t="shared" ca="1" si="2"/>
        <v>0.31428571428571428</v>
      </c>
    </row>
    <row r="10" spans="1:19" x14ac:dyDescent="0.15">
      <c r="A10" s="60">
        <v>5</v>
      </c>
      <c r="B10" s="21" t="s">
        <v>21</v>
      </c>
      <c r="C10" s="21">
        <f>[64]PARS_nsy_stat!B10</f>
        <v>107</v>
      </c>
      <c r="D10" s="21">
        <f>[64]PARS_nsy_stat!C10</f>
        <v>197</v>
      </c>
      <c r="E10" s="22">
        <f>C10/(C10+C11)</f>
        <v>0.46724890829694321</v>
      </c>
      <c r="F10" s="22">
        <f>D10/(D10+D11)</f>
        <v>0.64379084967320266</v>
      </c>
      <c r="I10" s="60">
        <v>5</v>
      </c>
      <c r="J10" s="21" t="s">
        <v>21</v>
      </c>
      <c r="K10" s="22">
        <f t="shared" si="0"/>
        <v>0.46724890829694321</v>
      </c>
      <c r="L10" s="22">
        <f t="shared" si="0"/>
        <v>0.64379084967320266</v>
      </c>
      <c r="O10" s="21">
        <v>8</v>
      </c>
      <c r="P10" s="7">
        <f ca="1">INDIRECT("K"&amp;ROW(K8)*2)</f>
        <v>0.48529411764705882</v>
      </c>
      <c r="Q10" s="7">
        <f t="shared" ca="1" si="3"/>
        <v>0.51470588235294112</v>
      </c>
      <c r="R10" s="7">
        <f t="shared" ca="1" si="1"/>
        <v>0.69072164948453607</v>
      </c>
      <c r="S10" s="7">
        <f t="shared" ca="1" si="2"/>
        <v>0.30927835051546393</v>
      </c>
    </row>
    <row r="11" spans="1:19" x14ac:dyDescent="0.15">
      <c r="A11" s="60"/>
      <c r="B11" s="21" t="s">
        <v>22</v>
      </c>
      <c r="C11" s="21">
        <f>[64]PARS_nsy_stat!B11</f>
        <v>122</v>
      </c>
      <c r="D11" s="21">
        <f>[64]PARS_nsy_stat!C11</f>
        <v>109</v>
      </c>
      <c r="E11" s="22">
        <f>C11/(C10+C11)</f>
        <v>0.53275109170305679</v>
      </c>
      <c r="F11" s="22">
        <f>D11/(D10+D11)</f>
        <v>0.3562091503267974</v>
      </c>
      <c r="I11" s="60"/>
      <c r="J11" s="21" t="s">
        <v>22</v>
      </c>
      <c r="K11" s="22">
        <f t="shared" si="0"/>
        <v>0.53275109170305679</v>
      </c>
      <c r="L11" s="22">
        <f t="shared" si="0"/>
        <v>0.3562091503267974</v>
      </c>
      <c r="O11" s="21">
        <v>9</v>
      </c>
      <c r="P11" s="7">
        <f t="shared" ref="P11:P74" ca="1" si="5">INDIRECT("K"&amp;ROW(K9)*2)</f>
        <v>0.453125</v>
      </c>
      <c r="Q11" s="7">
        <f t="shared" ca="1" si="3"/>
        <v>0.546875</v>
      </c>
      <c r="R11" s="7">
        <f t="shared" ca="1" si="1"/>
        <v>0.65979381443298968</v>
      </c>
      <c r="S11" s="7">
        <f t="shared" ca="1" si="2"/>
        <v>0.34020618556701032</v>
      </c>
    </row>
    <row r="12" spans="1:19" x14ac:dyDescent="0.15">
      <c r="A12" s="60">
        <v>6</v>
      </c>
      <c r="B12" s="21" t="s">
        <v>21</v>
      </c>
      <c r="C12" s="21">
        <f>[64]PARS_nsy_stat!B12</f>
        <v>119</v>
      </c>
      <c r="D12" s="21">
        <f>[64]PARS_nsy_stat!C12</f>
        <v>235</v>
      </c>
      <c r="E12" s="22">
        <f t="shared" ref="E12:F12" si="6">C12/(C12+C13)</f>
        <v>0.53125</v>
      </c>
      <c r="F12" s="22">
        <f t="shared" si="6"/>
        <v>0.69321533923303835</v>
      </c>
      <c r="I12" s="60">
        <v>6</v>
      </c>
      <c r="J12" s="21" t="s">
        <v>21</v>
      </c>
      <c r="K12" s="22">
        <f t="shared" si="0"/>
        <v>0.53125</v>
      </c>
      <c r="L12" s="22">
        <f t="shared" si="0"/>
        <v>0.69321533923303835</v>
      </c>
      <c r="O12" s="21">
        <v>10</v>
      </c>
      <c r="P12" s="7">
        <f t="shared" ca="1" si="5"/>
        <v>0.5130434782608696</v>
      </c>
      <c r="Q12" s="7">
        <f t="shared" ca="1" si="3"/>
        <v>0.48695652173913045</v>
      </c>
      <c r="R12" s="7">
        <f t="shared" ca="1" si="1"/>
        <v>0.75572519083969469</v>
      </c>
      <c r="S12" s="7">
        <f t="shared" ca="1" si="2"/>
        <v>0.24427480916030533</v>
      </c>
    </row>
    <row r="13" spans="1:19" x14ac:dyDescent="0.15">
      <c r="A13" s="60"/>
      <c r="B13" s="21" t="s">
        <v>22</v>
      </c>
      <c r="C13" s="21">
        <f>[64]PARS_nsy_stat!B13</f>
        <v>105</v>
      </c>
      <c r="D13" s="21">
        <f>[64]PARS_nsy_stat!C13</f>
        <v>104</v>
      </c>
      <c r="E13" s="22">
        <f t="shared" ref="E13:F13" si="7">C13/(C12+C13)</f>
        <v>0.46875</v>
      </c>
      <c r="F13" s="22">
        <f t="shared" si="7"/>
        <v>0.30678466076696165</v>
      </c>
      <c r="I13" s="60"/>
      <c r="J13" s="21" t="s">
        <v>22</v>
      </c>
      <c r="K13" s="22">
        <f t="shared" si="0"/>
        <v>0.46875</v>
      </c>
      <c r="L13" s="22">
        <f t="shared" si="0"/>
        <v>0.30678466076696165</v>
      </c>
      <c r="O13" s="21">
        <v>11</v>
      </c>
      <c r="P13" s="7">
        <f t="shared" ca="1" si="5"/>
        <v>0.4567901234567901</v>
      </c>
      <c r="Q13" s="7">
        <f t="shared" ca="1" si="3"/>
        <v>0.54320987654320985</v>
      </c>
      <c r="R13" s="7">
        <f t="shared" ca="1" si="1"/>
        <v>0.66019417475728159</v>
      </c>
      <c r="S13" s="7">
        <f t="shared" ca="1" si="2"/>
        <v>0.33980582524271846</v>
      </c>
    </row>
    <row r="14" spans="1:19" x14ac:dyDescent="0.15">
      <c r="A14" s="60">
        <v>7</v>
      </c>
      <c r="B14" s="21" t="s">
        <v>21</v>
      </c>
      <c r="C14" s="21">
        <f>[64]PARS_nsy_stat!B14</f>
        <v>77</v>
      </c>
      <c r="D14" s="21">
        <f>[64]PARS_nsy_stat!C14</f>
        <v>144</v>
      </c>
      <c r="E14" s="22">
        <f t="shared" ref="E14:F14" si="8">C14/(C14+C15)</f>
        <v>0.48125000000000001</v>
      </c>
      <c r="F14" s="22">
        <f t="shared" si="8"/>
        <v>0.68571428571428572</v>
      </c>
      <c r="I14" s="60">
        <v>7</v>
      </c>
      <c r="J14" s="21" t="s">
        <v>21</v>
      </c>
      <c r="K14" s="22">
        <f t="shared" si="0"/>
        <v>0.48125000000000001</v>
      </c>
      <c r="L14" s="22">
        <f t="shared" si="0"/>
        <v>0.68571428571428572</v>
      </c>
      <c r="O14" s="21">
        <v>12</v>
      </c>
      <c r="P14" s="7">
        <f t="shared" ca="1" si="5"/>
        <v>0.41818181818181815</v>
      </c>
      <c r="Q14" s="7">
        <f t="shared" ca="1" si="3"/>
        <v>0.58181818181818179</v>
      </c>
      <c r="R14" s="7">
        <f t="shared" ca="1" si="1"/>
        <v>0.64130434782608692</v>
      </c>
      <c r="S14" s="7">
        <f t="shared" ca="1" si="2"/>
        <v>0.35869565217391303</v>
      </c>
    </row>
    <row r="15" spans="1:19" x14ac:dyDescent="0.15">
      <c r="A15" s="60"/>
      <c r="B15" s="21" t="s">
        <v>22</v>
      </c>
      <c r="C15" s="21">
        <f>[64]PARS_nsy_stat!B15</f>
        <v>83</v>
      </c>
      <c r="D15" s="21">
        <f>[64]PARS_nsy_stat!C15</f>
        <v>66</v>
      </c>
      <c r="E15" s="22">
        <f t="shared" ref="E15:F15" si="9">C15/(C14+C15)</f>
        <v>0.51875000000000004</v>
      </c>
      <c r="F15" s="22">
        <f t="shared" si="9"/>
        <v>0.31428571428571428</v>
      </c>
      <c r="I15" s="60"/>
      <c r="J15" s="21" t="s">
        <v>22</v>
      </c>
      <c r="K15" s="22">
        <f t="shared" si="0"/>
        <v>0.51875000000000004</v>
      </c>
      <c r="L15" s="22">
        <f t="shared" si="0"/>
        <v>0.31428571428571428</v>
      </c>
      <c r="O15" s="21">
        <v>13</v>
      </c>
      <c r="P15" s="7">
        <f t="shared" ca="1" si="5"/>
        <v>0.53521126760563376</v>
      </c>
      <c r="Q15" s="7">
        <f t="shared" ca="1" si="3"/>
        <v>0.46478873239436619</v>
      </c>
      <c r="R15" s="7">
        <f t="shared" ca="1" si="1"/>
        <v>0.7</v>
      </c>
      <c r="S15" s="7">
        <f t="shared" ca="1" si="2"/>
        <v>0.3</v>
      </c>
    </row>
    <row r="16" spans="1:19" x14ac:dyDescent="0.15">
      <c r="A16" s="60">
        <v>8</v>
      </c>
      <c r="B16" s="21" t="s">
        <v>21</v>
      </c>
      <c r="C16" s="21">
        <f>[64]PARS_nsy_stat!B16</f>
        <v>66</v>
      </c>
      <c r="D16" s="21">
        <f>[64]PARS_nsy_stat!C16</f>
        <v>134</v>
      </c>
      <c r="E16" s="22">
        <f t="shared" ref="E16:F16" si="10">C16/(C16+C17)</f>
        <v>0.48529411764705882</v>
      </c>
      <c r="F16" s="22">
        <f t="shared" si="10"/>
        <v>0.69072164948453607</v>
      </c>
      <c r="I16" s="60">
        <v>8</v>
      </c>
      <c r="J16" s="21" t="s">
        <v>21</v>
      </c>
      <c r="K16" s="22">
        <f t="shared" si="0"/>
        <v>0.48529411764705882</v>
      </c>
      <c r="L16" s="22">
        <f t="shared" si="0"/>
        <v>0.69072164948453607</v>
      </c>
      <c r="O16" s="21">
        <v>14</v>
      </c>
      <c r="P16" s="7">
        <f t="shared" ca="1" si="5"/>
        <v>0.5161290322580645</v>
      </c>
      <c r="Q16" s="7">
        <f t="shared" ca="1" si="3"/>
        <v>0.4838709677419355</v>
      </c>
      <c r="R16" s="7">
        <f t="shared" ca="1" si="1"/>
        <v>0.67105263157894735</v>
      </c>
      <c r="S16" s="7">
        <f t="shared" ca="1" si="2"/>
        <v>0.32894736842105265</v>
      </c>
    </row>
    <row r="17" spans="1:19" x14ac:dyDescent="0.15">
      <c r="A17" s="60"/>
      <c r="B17" s="21" t="s">
        <v>22</v>
      </c>
      <c r="C17" s="21">
        <f>[64]PARS_nsy_stat!B17</f>
        <v>70</v>
      </c>
      <c r="D17" s="21">
        <f>[64]PARS_nsy_stat!C17</f>
        <v>60</v>
      </c>
      <c r="E17" s="22">
        <f t="shared" ref="E17:F17" si="11">C17/(C16+C17)</f>
        <v>0.51470588235294112</v>
      </c>
      <c r="F17" s="22">
        <f t="shared" si="11"/>
        <v>0.30927835051546393</v>
      </c>
      <c r="I17" s="60"/>
      <c r="J17" s="21" t="s">
        <v>22</v>
      </c>
      <c r="K17" s="22">
        <f t="shared" si="0"/>
        <v>0.51470588235294112</v>
      </c>
      <c r="L17" s="22">
        <f t="shared" si="0"/>
        <v>0.30927835051546393</v>
      </c>
      <c r="O17" s="21">
        <v>15</v>
      </c>
      <c r="P17" s="7">
        <f t="shared" ca="1" si="5"/>
        <v>0.47826086956521741</v>
      </c>
      <c r="Q17" s="7">
        <f t="shared" ca="1" si="3"/>
        <v>0.52173913043478259</v>
      </c>
      <c r="R17" s="7">
        <f t="shared" ca="1" si="1"/>
        <v>0.72857142857142854</v>
      </c>
      <c r="S17" s="7">
        <f t="shared" ca="1" si="2"/>
        <v>0.27142857142857141</v>
      </c>
    </row>
    <row r="18" spans="1:19" x14ac:dyDescent="0.15">
      <c r="A18" s="60">
        <v>9</v>
      </c>
      <c r="B18" s="21" t="s">
        <v>21</v>
      </c>
      <c r="C18" s="21">
        <f>[64]PARS_nsy_stat!B18</f>
        <v>58</v>
      </c>
      <c r="D18" s="21">
        <f>[64]PARS_nsy_stat!C18</f>
        <v>128</v>
      </c>
      <c r="E18" s="22">
        <f t="shared" ref="E18:F18" si="12">C18/(C18+C19)</f>
        <v>0.453125</v>
      </c>
      <c r="F18" s="22">
        <f t="shared" si="12"/>
        <v>0.65979381443298968</v>
      </c>
      <c r="I18" s="60">
        <v>9</v>
      </c>
      <c r="J18" s="21" t="s">
        <v>21</v>
      </c>
      <c r="K18" s="22">
        <f t="shared" si="0"/>
        <v>0.453125</v>
      </c>
      <c r="L18" s="22">
        <f t="shared" si="0"/>
        <v>0.65979381443298968</v>
      </c>
      <c r="O18" s="21">
        <v>16</v>
      </c>
      <c r="P18" s="7">
        <f t="shared" ca="1" si="5"/>
        <v>0.6</v>
      </c>
      <c r="Q18" s="7">
        <f t="shared" ca="1" si="3"/>
        <v>0.4</v>
      </c>
      <c r="R18" s="7">
        <f t="shared" ca="1" si="1"/>
        <v>0.67272727272727273</v>
      </c>
      <c r="S18" s="7">
        <f t="shared" ca="1" si="2"/>
        <v>0.32727272727272727</v>
      </c>
    </row>
    <row r="19" spans="1:19" x14ac:dyDescent="0.15">
      <c r="A19" s="60"/>
      <c r="B19" s="21" t="s">
        <v>22</v>
      </c>
      <c r="C19" s="21">
        <f>[64]PARS_nsy_stat!B19</f>
        <v>70</v>
      </c>
      <c r="D19" s="21">
        <f>[64]PARS_nsy_stat!C19</f>
        <v>66</v>
      </c>
      <c r="E19" s="22">
        <f t="shared" ref="E19:F19" si="13">C19/(C18+C19)</f>
        <v>0.546875</v>
      </c>
      <c r="F19" s="22">
        <f t="shared" si="13"/>
        <v>0.34020618556701032</v>
      </c>
      <c r="I19" s="60"/>
      <c r="J19" s="21" t="s">
        <v>22</v>
      </c>
      <c r="K19" s="22">
        <f t="shared" si="0"/>
        <v>0.546875</v>
      </c>
      <c r="L19" s="22">
        <f t="shared" si="0"/>
        <v>0.34020618556701032</v>
      </c>
      <c r="O19" s="21">
        <v>17</v>
      </c>
      <c r="P19" s="7">
        <f t="shared" ca="1" si="5"/>
        <v>0.39583333333333331</v>
      </c>
      <c r="Q19" s="7">
        <f t="shared" ca="1" si="3"/>
        <v>0.60416666666666663</v>
      </c>
      <c r="R19" s="7">
        <f t="shared" ca="1" si="1"/>
        <v>0.75438596491228072</v>
      </c>
      <c r="S19" s="7">
        <f t="shared" ca="1" si="2"/>
        <v>0.24561403508771928</v>
      </c>
    </row>
    <row r="20" spans="1:19" x14ac:dyDescent="0.15">
      <c r="A20" s="60">
        <v>10</v>
      </c>
      <c r="B20" s="21" t="s">
        <v>21</v>
      </c>
      <c r="C20" s="21">
        <f>[64]PARS_nsy_stat!B20</f>
        <v>59</v>
      </c>
      <c r="D20" s="21">
        <f>[64]PARS_nsy_stat!C20</f>
        <v>99</v>
      </c>
      <c r="E20" s="22">
        <f t="shared" ref="E20:F20" si="14">C20/(C20+C21)</f>
        <v>0.5130434782608696</v>
      </c>
      <c r="F20" s="22">
        <f t="shared" si="14"/>
        <v>0.75572519083969469</v>
      </c>
      <c r="I20" s="60">
        <v>10</v>
      </c>
      <c r="J20" s="21" t="s">
        <v>21</v>
      </c>
      <c r="K20" s="22">
        <f t="shared" si="0"/>
        <v>0.5130434782608696</v>
      </c>
      <c r="L20" s="22">
        <f t="shared" si="0"/>
        <v>0.75572519083969469</v>
      </c>
      <c r="O20" s="21">
        <v>18</v>
      </c>
      <c r="P20" s="7">
        <f t="shared" ca="1" si="5"/>
        <v>0.51282051282051277</v>
      </c>
      <c r="Q20" s="7">
        <f t="shared" ca="1" si="3"/>
        <v>0.48717948717948717</v>
      </c>
      <c r="R20" s="7">
        <f t="shared" ca="1" si="1"/>
        <v>0.75</v>
      </c>
      <c r="S20" s="7">
        <f t="shared" ca="1" si="2"/>
        <v>0.25</v>
      </c>
    </row>
    <row r="21" spans="1:19" x14ac:dyDescent="0.15">
      <c r="A21" s="60"/>
      <c r="B21" s="21" t="s">
        <v>22</v>
      </c>
      <c r="C21" s="21">
        <f>[64]PARS_nsy_stat!B21</f>
        <v>56</v>
      </c>
      <c r="D21" s="21">
        <f>[64]PARS_nsy_stat!C21</f>
        <v>32</v>
      </c>
      <c r="E21" s="22">
        <f t="shared" ref="E21:F21" si="15">C21/(C20+C21)</f>
        <v>0.48695652173913045</v>
      </c>
      <c r="F21" s="22">
        <f t="shared" si="15"/>
        <v>0.24427480916030533</v>
      </c>
      <c r="I21" s="60"/>
      <c r="J21" s="21" t="s">
        <v>22</v>
      </c>
      <c r="K21" s="22">
        <f t="shared" si="0"/>
        <v>0.48695652173913045</v>
      </c>
      <c r="L21" s="22">
        <f t="shared" si="0"/>
        <v>0.24427480916030533</v>
      </c>
      <c r="O21" s="21">
        <v>19</v>
      </c>
      <c r="P21" s="7">
        <f t="shared" ca="1" si="5"/>
        <v>0.5</v>
      </c>
      <c r="Q21" s="7">
        <f t="shared" ca="1" si="3"/>
        <v>0.5</v>
      </c>
      <c r="R21" s="7">
        <f t="shared" ca="1" si="1"/>
        <v>0.5892857142857143</v>
      </c>
      <c r="S21" s="7">
        <f t="shared" ca="1" si="2"/>
        <v>0.4107142857142857</v>
      </c>
    </row>
    <row r="22" spans="1:19" x14ac:dyDescent="0.15">
      <c r="A22" s="60">
        <v>11</v>
      </c>
      <c r="B22" s="21" t="s">
        <v>21</v>
      </c>
      <c r="C22" s="21">
        <f>[64]PARS_nsy_stat!B22</f>
        <v>37</v>
      </c>
      <c r="D22" s="21">
        <f>[64]PARS_nsy_stat!C22</f>
        <v>68</v>
      </c>
      <c r="E22" s="22">
        <f t="shared" ref="E22:F22" si="16">C22/(C22+C23)</f>
        <v>0.4567901234567901</v>
      </c>
      <c r="F22" s="22">
        <f t="shared" si="16"/>
        <v>0.66019417475728159</v>
      </c>
      <c r="I22" s="60">
        <v>11</v>
      </c>
      <c r="J22" s="21" t="s">
        <v>21</v>
      </c>
      <c r="K22" s="22">
        <f t="shared" si="0"/>
        <v>0.4567901234567901</v>
      </c>
      <c r="L22" s="22">
        <f t="shared" si="0"/>
        <v>0.66019417475728159</v>
      </c>
      <c r="O22" s="21">
        <v>20</v>
      </c>
      <c r="P22" s="7">
        <f t="shared" ca="1" si="5"/>
        <v>0.52173913043478259</v>
      </c>
      <c r="Q22" s="7">
        <f t="shared" ca="1" si="3"/>
        <v>0.47826086956521741</v>
      </c>
      <c r="R22" s="7">
        <f t="shared" ca="1" si="1"/>
        <v>0.78378378378378377</v>
      </c>
      <c r="S22" s="7">
        <f t="shared" ca="1" si="2"/>
        <v>0.21621621621621623</v>
      </c>
    </row>
    <row r="23" spans="1:19" x14ac:dyDescent="0.15">
      <c r="A23" s="60"/>
      <c r="B23" s="21" t="s">
        <v>22</v>
      </c>
      <c r="C23" s="21">
        <f>[64]PARS_nsy_stat!B23</f>
        <v>44</v>
      </c>
      <c r="D23" s="21">
        <f>[64]PARS_nsy_stat!C23</f>
        <v>35</v>
      </c>
      <c r="E23" s="22">
        <f t="shared" ref="E23:F23" si="17">C23/(C22+C23)</f>
        <v>0.54320987654320985</v>
      </c>
      <c r="F23" s="22">
        <f t="shared" si="17"/>
        <v>0.33980582524271846</v>
      </c>
      <c r="I23" s="60"/>
      <c r="J23" s="21" t="s">
        <v>22</v>
      </c>
      <c r="K23" s="22">
        <f t="shared" si="0"/>
        <v>0.54320987654320985</v>
      </c>
      <c r="L23" s="22">
        <f t="shared" si="0"/>
        <v>0.33980582524271846</v>
      </c>
      <c r="O23" s="21">
        <v>21</v>
      </c>
      <c r="P23" s="7">
        <f t="shared" ca="1" si="5"/>
        <v>0.33333333333333331</v>
      </c>
      <c r="Q23" s="7">
        <f t="shared" ca="1" si="3"/>
        <v>0.66666666666666663</v>
      </c>
      <c r="R23" s="7">
        <f t="shared" ca="1" si="1"/>
        <v>0.6875</v>
      </c>
      <c r="S23" s="7">
        <f t="shared" ca="1" si="2"/>
        <v>0.3125</v>
      </c>
    </row>
    <row r="24" spans="1:19" x14ac:dyDescent="0.15">
      <c r="A24" s="60">
        <v>12</v>
      </c>
      <c r="B24" s="21" t="s">
        <v>21</v>
      </c>
      <c r="C24" s="21">
        <f>[64]PARS_nsy_stat!B24</f>
        <v>23</v>
      </c>
      <c r="D24" s="21">
        <f>[64]PARS_nsy_stat!C24</f>
        <v>59</v>
      </c>
      <c r="E24" s="22">
        <f t="shared" ref="E24:F24" si="18">C24/(C24+C25)</f>
        <v>0.41818181818181815</v>
      </c>
      <c r="F24" s="22">
        <f t="shared" si="18"/>
        <v>0.64130434782608692</v>
      </c>
      <c r="I24" s="60">
        <v>12</v>
      </c>
      <c r="J24" s="21" t="s">
        <v>21</v>
      </c>
      <c r="K24" s="22">
        <f t="shared" si="0"/>
        <v>0.41818181818181815</v>
      </c>
      <c r="L24" s="22">
        <f t="shared" si="0"/>
        <v>0.64130434782608692</v>
      </c>
      <c r="O24" s="21">
        <v>22</v>
      </c>
      <c r="P24" s="7">
        <f t="shared" ca="1" si="5"/>
        <v>0.65384615384615385</v>
      </c>
      <c r="Q24" s="7">
        <f t="shared" ca="1" si="3"/>
        <v>0.34615384615384615</v>
      </c>
      <c r="R24" s="7">
        <f t="shared" ca="1" si="1"/>
        <v>0.6875</v>
      </c>
      <c r="S24" s="7">
        <f t="shared" ca="1" si="2"/>
        <v>0.3125</v>
      </c>
    </row>
    <row r="25" spans="1:19" x14ac:dyDescent="0.15">
      <c r="A25" s="60"/>
      <c r="B25" s="21" t="s">
        <v>22</v>
      </c>
      <c r="C25" s="21">
        <f>[64]PARS_nsy_stat!B25</f>
        <v>32</v>
      </c>
      <c r="D25" s="21">
        <f>[64]PARS_nsy_stat!C25</f>
        <v>33</v>
      </c>
      <c r="E25" s="22">
        <f t="shared" ref="E25:F25" si="19">C25/(C24+C25)</f>
        <v>0.58181818181818179</v>
      </c>
      <c r="F25" s="22">
        <f t="shared" si="19"/>
        <v>0.35869565217391303</v>
      </c>
      <c r="I25" s="60"/>
      <c r="J25" s="21" t="s">
        <v>22</v>
      </c>
      <c r="K25" s="22">
        <f t="shared" si="0"/>
        <v>0.58181818181818179</v>
      </c>
      <c r="L25" s="22">
        <f t="shared" si="0"/>
        <v>0.35869565217391303</v>
      </c>
      <c r="O25" s="21">
        <v>23</v>
      </c>
      <c r="P25" s="7">
        <f t="shared" ca="1" si="5"/>
        <v>0.41379310344827586</v>
      </c>
      <c r="Q25" s="7">
        <f t="shared" ca="1" si="3"/>
        <v>0.58620689655172409</v>
      </c>
      <c r="R25" s="7">
        <f t="shared" ca="1" si="1"/>
        <v>0.51428571428571423</v>
      </c>
      <c r="S25" s="7">
        <f t="shared" ca="1" si="2"/>
        <v>0.48571428571428571</v>
      </c>
    </row>
    <row r="26" spans="1:19" x14ac:dyDescent="0.15">
      <c r="A26" s="60">
        <v>13</v>
      </c>
      <c r="B26" s="21" t="s">
        <v>21</v>
      </c>
      <c r="C26" s="21">
        <f>[64]PARS_nsy_stat!B26</f>
        <v>38</v>
      </c>
      <c r="D26" s="21">
        <f>[64]PARS_nsy_stat!C26</f>
        <v>49</v>
      </c>
      <c r="E26" s="22">
        <f t="shared" ref="E26:F26" si="20">C26/(C26+C27)</f>
        <v>0.53521126760563376</v>
      </c>
      <c r="F26" s="22">
        <f t="shared" si="20"/>
        <v>0.7</v>
      </c>
      <c r="I26" s="60">
        <v>13</v>
      </c>
      <c r="J26" s="21" t="s">
        <v>21</v>
      </c>
      <c r="K26" s="22">
        <f t="shared" si="0"/>
        <v>0.53521126760563376</v>
      </c>
      <c r="L26" s="22">
        <f t="shared" si="0"/>
        <v>0.7</v>
      </c>
      <c r="O26" s="21">
        <v>24</v>
      </c>
      <c r="P26" s="7">
        <f t="shared" ca="1" si="5"/>
        <v>0.51724137931034486</v>
      </c>
      <c r="Q26" s="7">
        <f t="shared" ca="1" si="3"/>
        <v>0.48275862068965519</v>
      </c>
      <c r="R26" s="7">
        <f t="shared" ca="1" si="1"/>
        <v>0.62857142857142856</v>
      </c>
      <c r="S26" s="7">
        <f t="shared" ca="1" si="2"/>
        <v>0.37142857142857144</v>
      </c>
    </row>
    <row r="27" spans="1:19" x14ac:dyDescent="0.15">
      <c r="A27" s="60"/>
      <c r="B27" s="21" t="s">
        <v>22</v>
      </c>
      <c r="C27" s="21">
        <f>[64]PARS_nsy_stat!B27</f>
        <v>33</v>
      </c>
      <c r="D27" s="21">
        <f>[64]PARS_nsy_stat!C27</f>
        <v>21</v>
      </c>
      <c r="E27" s="22">
        <f t="shared" ref="E27:F27" si="21">C27/(C26+C27)</f>
        <v>0.46478873239436619</v>
      </c>
      <c r="F27" s="22">
        <f t="shared" si="21"/>
        <v>0.3</v>
      </c>
      <c r="I27" s="60"/>
      <c r="J27" s="21" t="s">
        <v>22</v>
      </c>
      <c r="K27" s="22">
        <f t="shared" si="0"/>
        <v>0.46478873239436619</v>
      </c>
      <c r="L27" s="22">
        <f t="shared" si="0"/>
        <v>0.3</v>
      </c>
      <c r="O27" s="21">
        <v>25</v>
      </c>
      <c r="P27" s="7">
        <f t="shared" ca="1" si="5"/>
        <v>0.5</v>
      </c>
      <c r="Q27" s="7">
        <f t="shared" ca="1" si="3"/>
        <v>0.5</v>
      </c>
      <c r="R27" s="7">
        <f t="shared" ca="1" si="1"/>
        <v>0.81481481481481477</v>
      </c>
      <c r="S27" s="7">
        <f t="shared" ca="1" si="2"/>
        <v>0.18518518518518517</v>
      </c>
    </row>
    <row r="28" spans="1:19" x14ac:dyDescent="0.15">
      <c r="A28" s="60">
        <v>14</v>
      </c>
      <c r="B28" s="21" t="s">
        <v>21</v>
      </c>
      <c r="C28" s="21">
        <f>[64]PARS_nsy_stat!B28</f>
        <v>32</v>
      </c>
      <c r="D28" s="21">
        <f>[64]PARS_nsy_stat!C28</f>
        <v>51</v>
      </c>
      <c r="E28" s="22">
        <f t="shared" ref="E28:F28" si="22">C28/(C28+C29)</f>
        <v>0.5161290322580645</v>
      </c>
      <c r="F28" s="22">
        <f t="shared" si="22"/>
        <v>0.67105263157894735</v>
      </c>
      <c r="I28" s="60">
        <v>14</v>
      </c>
      <c r="J28" s="21" t="s">
        <v>21</v>
      </c>
      <c r="K28" s="22">
        <f t="shared" si="0"/>
        <v>0.5161290322580645</v>
      </c>
      <c r="L28" s="22">
        <f t="shared" si="0"/>
        <v>0.67105263157894735</v>
      </c>
      <c r="O28" s="21">
        <v>26</v>
      </c>
      <c r="P28" s="7">
        <f t="shared" ca="1" si="5"/>
        <v>0.58333333333333337</v>
      </c>
      <c r="Q28" s="7">
        <f t="shared" ca="1" si="3"/>
        <v>0.41666666666666669</v>
      </c>
      <c r="R28" s="7">
        <f t="shared" ca="1" si="1"/>
        <v>0.61538461538461542</v>
      </c>
      <c r="S28" s="7">
        <f t="shared" ca="1" si="2"/>
        <v>0.38461538461538464</v>
      </c>
    </row>
    <row r="29" spans="1:19" x14ac:dyDescent="0.15">
      <c r="A29" s="60"/>
      <c r="B29" s="21" t="s">
        <v>22</v>
      </c>
      <c r="C29" s="21">
        <f>[64]PARS_nsy_stat!B29</f>
        <v>30</v>
      </c>
      <c r="D29" s="21">
        <f>[64]PARS_nsy_stat!C29</f>
        <v>25</v>
      </c>
      <c r="E29" s="22">
        <f t="shared" ref="E29:F29" si="23">C29/(C28+C29)</f>
        <v>0.4838709677419355</v>
      </c>
      <c r="F29" s="22">
        <f t="shared" si="23"/>
        <v>0.32894736842105265</v>
      </c>
      <c r="I29" s="60"/>
      <c r="J29" s="21" t="s">
        <v>22</v>
      </c>
      <c r="K29" s="22">
        <f t="shared" si="0"/>
        <v>0.4838709677419355</v>
      </c>
      <c r="L29" s="22">
        <f t="shared" si="0"/>
        <v>0.32894736842105265</v>
      </c>
      <c r="O29" s="21">
        <v>27</v>
      </c>
      <c r="P29" s="7">
        <f t="shared" ca="1" si="5"/>
        <v>0.42857142857142855</v>
      </c>
      <c r="Q29" s="7">
        <f t="shared" ca="1" si="3"/>
        <v>0.5714285714285714</v>
      </c>
      <c r="R29" s="7">
        <f t="shared" ca="1" si="1"/>
        <v>0.67741935483870963</v>
      </c>
      <c r="S29" s="7">
        <f t="shared" ca="1" si="2"/>
        <v>0.32258064516129031</v>
      </c>
    </row>
    <row r="30" spans="1:19" x14ac:dyDescent="0.15">
      <c r="A30" s="60">
        <v>15</v>
      </c>
      <c r="B30" s="21" t="s">
        <v>21</v>
      </c>
      <c r="C30" s="21">
        <f>[64]PARS_nsy_stat!B30</f>
        <v>22</v>
      </c>
      <c r="D30" s="21">
        <f>[64]PARS_nsy_stat!C30</f>
        <v>51</v>
      </c>
      <c r="E30" s="22">
        <f t="shared" ref="E30:F30" si="24">C30/(C30+C31)</f>
        <v>0.47826086956521741</v>
      </c>
      <c r="F30" s="22">
        <f t="shared" si="24"/>
        <v>0.72857142857142854</v>
      </c>
      <c r="I30" s="60">
        <v>15</v>
      </c>
      <c r="J30" s="21" t="s">
        <v>21</v>
      </c>
      <c r="K30" s="22">
        <f t="shared" si="0"/>
        <v>0.47826086956521741</v>
      </c>
      <c r="L30" s="22">
        <f t="shared" si="0"/>
        <v>0.72857142857142854</v>
      </c>
      <c r="O30" s="21">
        <v>28</v>
      </c>
      <c r="P30" s="7">
        <f t="shared" ca="1" si="5"/>
        <v>0.63157894736842102</v>
      </c>
      <c r="Q30" s="7">
        <f t="shared" ca="1" si="3"/>
        <v>0.36842105263157893</v>
      </c>
      <c r="R30" s="7">
        <f t="shared" ca="1" si="1"/>
        <v>0.66666666666666663</v>
      </c>
      <c r="S30" s="7">
        <f t="shared" ca="1" si="2"/>
        <v>0.33333333333333331</v>
      </c>
    </row>
    <row r="31" spans="1:19" x14ac:dyDescent="0.15">
      <c r="A31" s="60"/>
      <c r="B31" s="21" t="s">
        <v>22</v>
      </c>
      <c r="C31" s="21">
        <f>[64]PARS_nsy_stat!B31</f>
        <v>24</v>
      </c>
      <c r="D31" s="21">
        <f>[64]PARS_nsy_stat!C31</f>
        <v>19</v>
      </c>
      <c r="E31" s="22">
        <f t="shared" ref="E31:F31" si="25">C31/(C30+C31)</f>
        <v>0.52173913043478259</v>
      </c>
      <c r="F31" s="22">
        <f t="shared" si="25"/>
        <v>0.27142857142857141</v>
      </c>
      <c r="I31" s="60"/>
      <c r="J31" s="21" t="s">
        <v>22</v>
      </c>
      <c r="K31" s="22">
        <f t="shared" si="0"/>
        <v>0.52173913043478259</v>
      </c>
      <c r="L31" s="22">
        <f t="shared" si="0"/>
        <v>0.27142857142857141</v>
      </c>
      <c r="O31" s="21">
        <v>29</v>
      </c>
      <c r="P31" s="7">
        <f t="shared" ca="1" si="5"/>
        <v>0.52173913043478259</v>
      </c>
      <c r="Q31" s="7">
        <f t="shared" ca="1" si="3"/>
        <v>0.47826086956521741</v>
      </c>
      <c r="R31" s="7">
        <f t="shared" ca="1" si="1"/>
        <v>0.59090909090909094</v>
      </c>
      <c r="S31" s="7">
        <f t="shared" ca="1" si="2"/>
        <v>0.40909090909090912</v>
      </c>
    </row>
    <row r="32" spans="1:19" x14ac:dyDescent="0.15">
      <c r="A32" s="60">
        <v>16</v>
      </c>
      <c r="B32" s="21" t="s">
        <v>21</v>
      </c>
      <c r="C32" s="21">
        <f>[64]PARS_nsy_stat!B32</f>
        <v>21</v>
      </c>
      <c r="D32" s="21">
        <f>[64]PARS_nsy_stat!C32</f>
        <v>37</v>
      </c>
      <c r="E32" s="22">
        <f t="shared" ref="E32:F32" si="26">C32/(C32+C33)</f>
        <v>0.6</v>
      </c>
      <c r="F32" s="22">
        <f t="shared" si="26"/>
        <v>0.67272727272727273</v>
      </c>
      <c r="I32" s="60">
        <v>16</v>
      </c>
      <c r="J32" s="21" t="s">
        <v>21</v>
      </c>
      <c r="K32" s="22">
        <f t="shared" si="0"/>
        <v>0.6</v>
      </c>
      <c r="L32" s="22">
        <f t="shared" si="0"/>
        <v>0.67272727272727273</v>
      </c>
      <c r="O32" s="21">
        <v>30</v>
      </c>
      <c r="P32" s="7">
        <f t="shared" ca="1" si="5"/>
        <v>0.36363636363636365</v>
      </c>
      <c r="Q32" s="7">
        <f t="shared" ca="1" si="3"/>
        <v>0.63636363636363635</v>
      </c>
      <c r="R32" s="7">
        <f t="shared" ca="1" si="1"/>
        <v>0.65517241379310343</v>
      </c>
      <c r="S32" s="7">
        <f t="shared" ca="1" si="2"/>
        <v>0.34482758620689657</v>
      </c>
    </row>
    <row r="33" spans="1:19" x14ac:dyDescent="0.15">
      <c r="A33" s="60"/>
      <c r="B33" s="21" t="s">
        <v>22</v>
      </c>
      <c r="C33" s="21">
        <f>[64]PARS_nsy_stat!B33</f>
        <v>14</v>
      </c>
      <c r="D33" s="21">
        <f>[64]PARS_nsy_stat!C33</f>
        <v>18</v>
      </c>
      <c r="E33" s="22">
        <f t="shared" ref="E33:F33" si="27">C33/(C32+C33)</f>
        <v>0.4</v>
      </c>
      <c r="F33" s="22">
        <f t="shared" si="27"/>
        <v>0.32727272727272727</v>
      </c>
      <c r="I33" s="60"/>
      <c r="J33" s="21" t="s">
        <v>22</v>
      </c>
      <c r="K33" s="22">
        <f t="shared" si="0"/>
        <v>0.4</v>
      </c>
      <c r="L33" s="22">
        <f t="shared" si="0"/>
        <v>0.32727272727272727</v>
      </c>
      <c r="O33" s="21">
        <v>31</v>
      </c>
      <c r="P33" s="7">
        <f t="shared" ca="1" si="5"/>
        <v>0.56000000000000005</v>
      </c>
      <c r="Q33" s="7">
        <f t="shared" ca="1" si="3"/>
        <v>0.44</v>
      </c>
      <c r="R33" s="7">
        <f t="shared" ca="1" si="1"/>
        <v>0.6785714285714286</v>
      </c>
      <c r="S33" s="7">
        <f t="shared" ca="1" si="2"/>
        <v>0.32142857142857145</v>
      </c>
    </row>
    <row r="34" spans="1:19" x14ac:dyDescent="0.15">
      <c r="A34" s="60">
        <v>17</v>
      </c>
      <c r="B34" s="21" t="s">
        <v>21</v>
      </c>
      <c r="C34" s="21">
        <f>[64]PARS_nsy_stat!B34</f>
        <v>19</v>
      </c>
      <c r="D34" s="21">
        <f>[64]PARS_nsy_stat!C34</f>
        <v>43</v>
      </c>
      <c r="E34" s="22">
        <f t="shared" ref="E34:F34" si="28">C34/(C34+C35)</f>
        <v>0.39583333333333331</v>
      </c>
      <c r="F34" s="22">
        <f t="shared" si="28"/>
        <v>0.75438596491228072</v>
      </c>
      <c r="I34" s="60">
        <v>17</v>
      </c>
      <c r="J34" s="21" t="s">
        <v>21</v>
      </c>
      <c r="K34" s="22">
        <f t="shared" si="0"/>
        <v>0.39583333333333331</v>
      </c>
      <c r="L34" s="22">
        <f t="shared" si="0"/>
        <v>0.75438596491228072</v>
      </c>
      <c r="O34" s="21">
        <v>32</v>
      </c>
      <c r="P34" s="7">
        <f t="shared" ca="1" si="5"/>
        <v>0.5714285714285714</v>
      </c>
      <c r="Q34" s="7">
        <f t="shared" ca="1" si="3"/>
        <v>0.42857142857142855</v>
      </c>
      <c r="R34" s="7">
        <f t="shared" ca="1" si="1"/>
        <v>0.73913043478260865</v>
      </c>
      <c r="S34" s="7">
        <f t="shared" ca="1" si="2"/>
        <v>0.2608695652173913</v>
      </c>
    </row>
    <row r="35" spans="1:19" x14ac:dyDescent="0.15">
      <c r="A35" s="60"/>
      <c r="B35" s="21" t="s">
        <v>22</v>
      </c>
      <c r="C35" s="21">
        <f>[64]PARS_nsy_stat!B35</f>
        <v>29</v>
      </c>
      <c r="D35" s="21">
        <f>[64]PARS_nsy_stat!C35</f>
        <v>14</v>
      </c>
      <c r="E35" s="22">
        <f t="shared" ref="E35:F35" si="29">C35/(C34+C35)</f>
        <v>0.60416666666666663</v>
      </c>
      <c r="F35" s="22">
        <f t="shared" si="29"/>
        <v>0.24561403508771928</v>
      </c>
      <c r="I35" s="60"/>
      <c r="J35" s="21" t="s">
        <v>22</v>
      </c>
      <c r="K35" s="22">
        <f t="shared" si="0"/>
        <v>0.60416666666666663</v>
      </c>
      <c r="L35" s="22">
        <f t="shared" si="0"/>
        <v>0.24561403508771928</v>
      </c>
      <c r="O35" s="21">
        <v>33</v>
      </c>
      <c r="P35" s="7">
        <f t="shared" ca="1" si="5"/>
        <v>0.38095238095238093</v>
      </c>
      <c r="Q35" s="7">
        <f t="shared" ca="1" si="3"/>
        <v>0.61904761904761907</v>
      </c>
      <c r="R35" s="7">
        <f t="shared" ca="1" si="1"/>
        <v>0.68421052631578949</v>
      </c>
      <c r="S35" s="7">
        <f t="shared" ca="1" si="2"/>
        <v>0.31578947368421051</v>
      </c>
    </row>
    <row r="36" spans="1:19" x14ac:dyDescent="0.15">
      <c r="A36" s="60">
        <v>18</v>
      </c>
      <c r="B36" s="21" t="s">
        <v>21</v>
      </c>
      <c r="C36" s="21">
        <f>[64]PARS_nsy_stat!B36</f>
        <v>20</v>
      </c>
      <c r="D36" s="21">
        <f>[64]PARS_nsy_stat!C36</f>
        <v>30</v>
      </c>
      <c r="E36" s="22">
        <f t="shared" ref="E36:F36" si="30">C36/(C36+C37)</f>
        <v>0.51282051282051277</v>
      </c>
      <c r="F36" s="22">
        <f t="shared" si="30"/>
        <v>0.75</v>
      </c>
      <c r="I36" s="60">
        <v>18</v>
      </c>
      <c r="J36" s="21" t="s">
        <v>21</v>
      </c>
      <c r="K36" s="22">
        <f t="shared" si="0"/>
        <v>0.51282051282051277</v>
      </c>
      <c r="L36" s="22">
        <f t="shared" si="0"/>
        <v>0.75</v>
      </c>
      <c r="O36" s="21">
        <v>34</v>
      </c>
      <c r="P36" s="7">
        <f t="shared" ca="1" si="5"/>
        <v>0.5714285714285714</v>
      </c>
      <c r="Q36" s="7">
        <f t="shared" ca="1" si="3"/>
        <v>0.42857142857142855</v>
      </c>
      <c r="R36" s="7">
        <f t="shared" ca="1" si="1"/>
        <v>1</v>
      </c>
      <c r="S36" s="7">
        <f t="shared" ca="1" si="2"/>
        <v>0</v>
      </c>
    </row>
    <row r="37" spans="1:19" x14ac:dyDescent="0.15">
      <c r="A37" s="60"/>
      <c r="B37" s="21" t="s">
        <v>22</v>
      </c>
      <c r="C37" s="21">
        <f>[64]PARS_nsy_stat!B37</f>
        <v>19</v>
      </c>
      <c r="D37" s="21">
        <f>[64]PARS_nsy_stat!C37</f>
        <v>10</v>
      </c>
      <c r="E37" s="22">
        <f t="shared" ref="E37:F37" si="31">C37/(C36+C37)</f>
        <v>0.48717948717948717</v>
      </c>
      <c r="F37" s="22">
        <f t="shared" si="31"/>
        <v>0.25</v>
      </c>
      <c r="I37" s="60"/>
      <c r="J37" s="21" t="s">
        <v>22</v>
      </c>
      <c r="K37" s="22">
        <f t="shared" si="0"/>
        <v>0.48717948717948717</v>
      </c>
      <c r="L37" s="22">
        <f t="shared" si="0"/>
        <v>0.25</v>
      </c>
      <c r="O37" s="21">
        <v>35</v>
      </c>
      <c r="P37" s="7">
        <f t="shared" ca="1" si="5"/>
        <v>0.2857142857142857</v>
      </c>
      <c r="Q37" s="7">
        <f t="shared" ca="1" si="3"/>
        <v>0.7142857142857143</v>
      </c>
      <c r="R37" s="7">
        <f t="shared" ca="1" si="1"/>
        <v>0.7142857142857143</v>
      </c>
      <c r="S37" s="7">
        <f t="shared" ca="1" si="2"/>
        <v>0.2857142857142857</v>
      </c>
    </row>
    <row r="38" spans="1:19" x14ac:dyDescent="0.15">
      <c r="A38" s="60">
        <v>19</v>
      </c>
      <c r="B38" s="21" t="s">
        <v>21</v>
      </c>
      <c r="C38" s="21">
        <f>[64]PARS_nsy_stat!B38</f>
        <v>16</v>
      </c>
      <c r="D38" s="21">
        <f>[64]PARS_nsy_stat!C38</f>
        <v>33</v>
      </c>
      <c r="E38" s="22">
        <f t="shared" ref="E38:F38" si="32">C38/(C38+C39)</f>
        <v>0.5</v>
      </c>
      <c r="F38" s="22">
        <f t="shared" si="32"/>
        <v>0.5892857142857143</v>
      </c>
      <c r="I38" s="60">
        <v>19</v>
      </c>
      <c r="J38" s="21" t="s">
        <v>21</v>
      </c>
      <c r="K38" s="22">
        <f t="shared" si="0"/>
        <v>0.5</v>
      </c>
      <c r="L38" s="22">
        <f t="shared" si="0"/>
        <v>0.5892857142857143</v>
      </c>
      <c r="O38" s="21">
        <v>36</v>
      </c>
      <c r="P38" s="7">
        <f t="shared" ca="1" si="5"/>
        <v>0.44444444444444442</v>
      </c>
      <c r="Q38" s="7">
        <f t="shared" ca="1" si="3"/>
        <v>0.55555555555555558</v>
      </c>
      <c r="R38" s="7">
        <f t="shared" ca="1" si="1"/>
        <v>0.76666666666666672</v>
      </c>
      <c r="S38" s="7">
        <f t="shared" ca="1" si="2"/>
        <v>0.23333333333333334</v>
      </c>
    </row>
    <row r="39" spans="1:19" x14ac:dyDescent="0.15">
      <c r="A39" s="60"/>
      <c r="B39" s="21" t="s">
        <v>22</v>
      </c>
      <c r="C39" s="21">
        <f>[64]PARS_nsy_stat!B39</f>
        <v>16</v>
      </c>
      <c r="D39" s="21">
        <f>[64]PARS_nsy_stat!C39</f>
        <v>23</v>
      </c>
      <c r="E39" s="22">
        <f t="shared" ref="E39:F39" si="33">C39/(C38+C39)</f>
        <v>0.5</v>
      </c>
      <c r="F39" s="22">
        <f t="shared" si="33"/>
        <v>0.4107142857142857</v>
      </c>
      <c r="I39" s="60"/>
      <c r="J39" s="21" t="s">
        <v>22</v>
      </c>
      <c r="K39" s="22">
        <f t="shared" si="0"/>
        <v>0.5</v>
      </c>
      <c r="L39" s="22">
        <f t="shared" si="0"/>
        <v>0.4107142857142857</v>
      </c>
      <c r="O39" s="21">
        <v>37</v>
      </c>
      <c r="P39" s="7">
        <f t="shared" ca="1" si="5"/>
        <v>0.6</v>
      </c>
      <c r="Q39" s="7">
        <f t="shared" ca="1" si="3"/>
        <v>0.4</v>
      </c>
      <c r="R39" s="7">
        <f t="shared" ca="1" si="1"/>
        <v>0.6875</v>
      </c>
      <c r="S39" s="7">
        <f t="shared" ca="1" si="2"/>
        <v>0.3125</v>
      </c>
    </row>
    <row r="40" spans="1:19" x14ac:dyDescent="0.15">
      <c r="A40" s="60">
        <v>20</v>
      </c>
      <c r="B40" s="21" t="s">
        <v>21</v>
      </c>
      <c r="C40" s="21">
        <f>[64]PARS_nsy_stat!B40</f>
        <v>12</v>
      </c>
      <c r="D40" s="21">
        <f>[64]PARS_nsy_stat!C40</f>
        <v>29</v>
      </c>
      <c r="E40" s="22">
        <f t="shared" ref="E40:F40" si="34">C40/(C40+C41)</f>
        <v>0.52173913043478259</v>
      </c>
      <c r="F40" s="22">
        <f t="shared" si="34"/>
        <v>0.78378378378378377</v>
      </c>
      <c r="I40" s="60">
        <v>20</v>
      </c>
      <c r="J40" s="21" t="s">
        <v>21</v>
      </c>
      <c r="K40" s="22">
        <f t="shared" si="0"/>
        <v>0.52173913043478259</v>
      </c>
      <c r="L40" s="22">
        <f t="shared" si="0"/>
        <v>0.78378378378378377</v>
      </c>
      <c r="O40" s="21">
        <v>38</v>
      </c>
      <c r="P40" s="7">
        <f t="shared" ca="1" si="5"/>
        <v>0.35714285714285715</v>
      </c>
      <c r="Q40" s="7">
        <f t="shared" ca="1" si="3"/>
        <v>0.6428571428571429</v>
      </c>
      <c r="R40" s="7">
        <f t="shared" ca="1" si="1"/>
        <v>0.69230769230769229</v>
      </c>
      <c r="S40" s="7">
        <f t="shared" ca="1" si="2"/>
        <v>0.30769230769230771</v>
      </c>
    </row>
    <row r="41" spans="1:19" x14ac:dyDescent="0.15">
      <c r="A41" s="60"/>
      <c r="B41" s="21" t="s">
        <v>22</v>
      </c>
      <c r="C41" s="21">
        <f>[64]PARS_nsy_stat!B41</f>
        <v>11</v>
      </c>
      <c r="D41" s="21">
        <f>[64]PARS_nsy_stat!C41</f>
        <v>8</v>
      </c>
      <c r="E41" s="22">
        <f t="shared" ref="E41:F41" si="35">C41/(C40+C41)</f>
        <v>0.47826086956521741</v>
      </c>
      <c r="F41" s="22">
        <f t="shared" si="35"/>
        <v>0.21621621621621623</v>
      </c>
      <c r="I41" s="60"/>
      <c r="J41" s="21" t="s">
        <v>22</v>
      </c>
      <c r="K41" s="22">
        <f t="shared" si="0"/>
        <v>0.47826086956521741</v>
      </c>
      <c r="L41" s="22">
        <f t="shared" si="0"/>
        <v>0.21621621621621623</v>
      </c>
      <c r="O41" s="21">
        <v>39</v>
      </c>
      <c r="P41" s="7">
        <f t="shared" ca="1" si="5"/>
        <v>0.8125</v>
      </c>
      <c r="Q41" s="7">
        <f t="shared" ca="1" si="3"/>
        <v>0.1875</v>
      </c>
      <c r="R41" s="7">
        <f t="shared" ca="1" si="1"/>
        <v>0.65</v>
      </c>
      <c r="S41" s="7">
        <f t="shared" ca="1" si="2"/>
        <v>0.35</v>
      </c>
    </row>
    <row r="42" spans="1:19" x14ac:dyDescent="0.15">
      <c r="A42" s="60">
        <v>21</v>
      </c>
      <c r="B42" s="21" t="s">
        <v>21</v>
      </c>
      <c r="C42" s="21">
        <f>[64]PARS_nsy_stat!B42</f>
        <v>6</v>
      </c>
      <c r="D42" s="21">
        <f>[64]PARS_nsy_stat!C42</f>
        <v>22</v>
      </c>
      <c r="E42" s="22">
        <f t="shared" ref="E42:F42" si="36">C42/(C42+C43)</f>
        <v>0.33333333333333331</v>
      </c>
      <c r="F42" s="22">
        <f t="shared" si="36"/>
        <v>0.6875</v>
      </c>
      <c r="I42" s="60">
        <v>21</v>
      </c>
      <c r="J42" s="21" t="s">
        <v>21</v>
      </c>
      <c r="K42" s="22">
        <f t="shared" si="0"/>
        <v>0.33333333333333331</v>
      </c>
      <c r="L42" s="22">
        <f t="shared" si="0"/>
        <v>0.6875</v>
      </c>
      <c r="O42" s="21">
        <v>40</v>
      </c>
      <c r="P42" s="7">
        <f t="shared" ca="1" si="5"/>
        <v>0.625</v>
      </c>
      <c r="Q42" s="7">
        <f t="shared" ca="1" si="3"/>
        <v>0.375</v>
      </c>
      <c r="R42" s="7">
        <f t="shared" ca="1" si="1"/>
        <v>0.66666666666666663</v>
      </c>
      <c r="S42" s="7">
        <f t="shared" ca="1" si="2"/>
        <v>0.33333333333333331</v>
      </c>
    </row>
    <row r="43" spans="1:19" x14ac:dyDescent="0.15">
      <c r="A43" s="60"/>
      <c r="B43" s="21" t="s">
        <v>22</v>
      </c>
      <c r="C43" s="21">
        <f>[64]PARS_nsy_stat!B43</f>
        <v>12</v>
      </c>
      <c r="D43" s="21">
        <f>[64]PARS_nsy_stat!C43</f>
        <v>10</v>
      </c>
      <c r="E43" s="22">
        <f t="shared" ref="E43:F43" si="37">C43/(C42+C43)</f>
        <v>0.66666666666666663</v>
      </c>
      <c r="F43" s="22">
        <f t="shared" si="37"/>
        <v>0.3125</v>
      </c>
      <c r="I43" s="60"/>
      <c r="J43" s="21" t="s">
        <v>22</v>
      </c>
      <c r="K43" s="22">
        <f t="shared" si="0"/>
        <v>0.66666666666666663</v>
      </c>
      <c r="L43" s="22">
        <f t="shared" si="0"/>
        <v>0.3125</v>
      </c>
      <c r="O43" s="21">
        <v>41</v>
      </c>
      <c r="P43" s="7">
        <f t="shared" ca="1" si="5"/>
        <v>0.66666666666666663</v>
      </c>
      <c r="Q43" s="7">
        <f t="shared" ca="1" si="3"/>
        <v>0.33333333333333331</v>
      </c>
      <c r="R43" s="7">
        <f t="shared" ca="1" si="1"/>
        <v>0.75</v>
      </c>
      <c r="S43" s="7">
        <f t="shared" ca="1" si="2"/>
        <v>0.25</v>
      </c>
    </row>
    <row r="44" spans="1:19" x14ac:dyDescent="0.15">
      <c r="A44" s="60">
        <v>22</v>
      </c>
      <c r="B44" s="21" t="s">
        <v>21</v>
      </c>
      <c r="C44" s="21">
        <f>[64]PARS_nsy_stat!B44</f>
        <v>17</v>
      </c>
      <c r="D44" s="21">
        <f>[64]PARS_nsy_stat!C44</f>
        <v>22</v>
      </c>
      <c r="E44" s="22">
        <f t="shared" ref="E44:F44" si="38">C44/(C44+C45)</f>
        <v>0.65384615384615385</v>
      </c>
      <c r="F44" s="22">
        <f t="shared" si="38"/>
        <v>0.6875</v>
      </c>
      <c r="I44" s="60">
        <v>22</v>
      </c>
      <c r="J44" s="21" t="s">
        <v>21</v>
      </c>
      <c r="K44" s="22">
        <f t="shared" si="0"/>
        <v>0.65384615384615385</v>
      </c>
      <c r="L44" s="22">
        <f t="shared" si="0"/>
        <v>0.6875</v>
      </c>
      <c r="O44" s="21">
        <v>42</v>
      </c>
      <c r="P44" s="7">
        <f t="shared" ca="1" si="5"/>
        <v>0.5</v>
      </c>
      <c r="Q44" s="7">
        <f t="shared" ca="1" si="3"/>
        <v>0.5</v>
      </c>
      <c r="R44" s="7">
        <f t="shared" ca="1" si="1"/>
        <v>0.58333333333333337</v>
      </c>
      <c r="S44" s="7">
        <f t="shared" ca="1" si="2"/>
        <v>0.41666666666666669</v>
      </c>
    </row>
    <row r="45" spans="1:19" x14ac:dyDescent="0.15">
      <c r="A45" s="60"/>
      <c r="B45" s="21" t="s">
        <v>22</v>
      </c>
      <c r="C45" s="21">
        <f>[64]PARS_nsy_stat!B45</f>
        <v>9</v>
      </c>
      <c r="D45" s="21">
        <f>[64]PARS_nsy_stat!C45</f>
        <v>10</v>
      </c>
      <c r="E45" s="22">
        <f t="shared" ref="E45:F45" si="39">C45/(C44+C45)</f>
        <v>0.34615384615384615</v>
      </c>
      <c r="F45" s="22">
        <f t="shared" si="39"/>
        <v>0.3125</v>
      </c>
      <c r="I45" s="60"/>
      <c r="J45" s="21" t="s">
        <v>22</v>
      </c>
      <c r="K45" s="22">
        <f t="shared" si="0"/>
        <v>0.34615384615384615</v>
      </c>
      <c r="L45" s="22">
        <f t="shared" si="0"/>
        <v>0.3125</v>
      </c>
      <c r="O45" s="21">
        <v>43</v>
      </c>
      <c r="P45" s="7">
        <f t="shared" ca="1" si="5"/>
        <v>0.33333333333333331</v>
      </c>
      <c r="Q45" s="7">
        <f t="shared" ca="1" si="3"/>
        <v>0.66666666666666663</v>
      </c>
      <c r="R45" s="7">
        <f t="shared" ca="1" si="1"/>
        <v>0.91666666666666663</v>
      </c>
      <c r="S45" s="7">
        <f t="shared" ca="1" si="2"/>
        <v>8.3333333333333329E-2</v>
      </c>
    </row>
    <row r="46" spans="1:19" x14ac:dyDescent="0.15">
      <c r="A46" s="60">
        <v>23</v>
      </c>
      <c r="B46" s="21" t="s">
        <v>21</v>
      </c>
      <c r="C46" s="21">
        <f>[64]PARS_nsy_stat!B46</f>
        <v>12</v>
      </c>
      <c r="D46" s="21">
        <f>[64]PARS_nsy_stat!C46</f>
        <v>18</v>
      </c>
      <c r="E46" s="22">
        <f t="shared" ref="E46:F46" si="40">C46/(C46+C47)</f>
        <v>0.41379310344827586</v>
      </c>
      <c r="F46" s="22">
        <f t="shared" si="40"/>
        <v>0.51428571428571423</v>
      </c>
      <c r="I46" s="60">
        <v>23</v>
      </c>
      <c r="J46" s="21" t="s">
        <v>21</v>
      </c>
      <c r="K46" s="22">
        <f t="shared" si="0"/>
        <v>0.41379310344827586</v>
      </c>
      <c r="L46" s="22">
        <f t="shared" si="0"/>
        <v>0.51428571428571423</v>
      </c>
      <c r="O46" s="21">
        <v>44</v>
      </c>
      <c r="P46" s="7">
        <f t="shared" ca="1" si="5"/>
        <v>0.38461538461538464</v>
      </c>
      <c r="Q46" s="7">
        <f t="shared" ca="1" si="3"/>
        <v>0.61538461538461542</v>
      </c>
      <c r="R46" s="7">
        <f t="shared" ca="1" si="1"/>
        <v>0.61538461538461542</v>
      </c>
      <c r="S46" s="7">
        <f t="shared" ca="1" si="2"/>
        <v>0.38461538461538464</v>
      </c>
    </row>
    <row r="47" spans="1:19" x14ac:dyDescent="0.15">
      <c r="A47" s="60"/>
      <c r="B47" s="21" t="s">
        <v>22</v>
      </c>
      <c r="C47" s="21">
        <f>[64]PARS_nsy_stat!B47</f>
        <v>17</v>
      </c>
      <c r="D47" s="21">
        <f>[64]PARS_nsy_stat!C47</f>
        <v>17</v>
      </c>
      <c r="E47" s="22">
        <f t="shared" ref="E47:F47" si="41">C47/(C46+C47)</f>
        <v>0.58620689655172409</v>
      </c>
      <c r="F47" s="22">
        <f t="shared" si="41"/>
        <v>0.48571428571428571</v>
      </c>
      <c r="I47" s="60"/>
      <c r="J47" s="21" t="s">
        <v>22</v>
      </c>
      <c r="K47" s="22">
        <f t="shared" si="0"/>
        <v>0.58620689655172409</v>
      </c>
      <c r="L47" s="22">
        <f t="shared" si="0"/>
        <v>0.48571428571428571</v>
      </c>
      <c r="O47" s="21">
        <v>45</v>
      </c>
      <c r="P47" s="7">
        <f t="shared" ca="1" si="5"/>
        <v>0.61538461538461542</v>
      </c>
      <c r="Q47" s="7">
        <f t="shared" ca="1" si="3"/>
        <v>0.38461538461538464</v>
      </c>
      <c r="R47" s="7">
        <f t="shared" ca="1" si="1"/>
        <v>0.53846153846153844</v>
      </c>
      <c r="S47" s="7">
        <f t="shared" ca="1" si="2"/>
        <v>0.46153846153846156</v>
      </c>
    </row>
    <row r="48" spans="1:19" x14ac:dyDescent="0.15">
      <c r="A48" s="60">
        <v>24</v>
      </c>
      <c r="B48" s="21" t="s">
        <v>21</v>
      </c>
      <c r="C48" s="21">
        <f>[64]PARS_nsy_stat!B48</f>
        <v>15</v>
      </c>
      <c r="D48" s="21">
        <f>[64]PARS_nsy_stat!C48</f>
        <v>22</v>
      </c>
      <c r="E48" s="22">
        <f t="shared" ref="E48:F48" si="42">C48/(C48+C49)</f>
        <v>0.51724137931034486</v>
      </c>
      <c r="F48" s="22">
        <f t="shared" si="42"/>
        <v>0.62857142857142856</v>
      </c>
      <c r="I48" s="60">
        <v>24</v>
      </c>
      <c r="J48" s="21" t="s">
        <v>21</v>
      </c>
      <c r="K48" s="22">
        <f t="shared" si="0"/>
        <v>0.51724137931034486</v>
      </c>
      <c r="L48" s="22">
        <f t="shared" si="0"/>
        <v>0.62857142857142856</v>
      </c>
      <c r="O48" s="21">
        <v>46</v>
      </c>
      <c r="P48" s="7">
        <f t="shared" ca="1" si="5"/>
        <v>0.6</v>
      </c>
      <c r="Q48" s="7">
        <f t="shared" ca="1" si="3"/>
        <v>0.4</v>
      </c>
      <c r="R48" s="7">
        <f t="shared" ca="1" si="1"/>
        <v>0.33333333333333331</v>
      </c>
      <c r="S48" s="7">
        <f t="shared" ca="1" si="2"/>
        <v>0.66666666666666663</v>
      </c>
    </row>
    <row r="49" spans="1:19" x14ac:dyDescent="0.15">
      <c r="A49" s="60"/>
      <c r="B49" s="21" t="s">
        <v>22</v>
      </c>
      <c r="C49" s="21">
        <f>[64]PARS_nsy_stat!B49</f>
        <v>14</v>
      </c>
      <c r="D49" s="21">
        <f>[64]PARS_nsy_stat!C49</f>
        <v>13</v>
      </c>
      <c r="E49" s="22">
        <f t="shared" ref="E49:F49" si="43">C49/(C48+C49)</f>
        <v>0.48275862068965519</v>
      </c>
      <c r="F49" s="22">
        <f t="shared" si="43"/>
        <v>0.37142857142857144</v>
      </c>
      <c r="I49" s="60"/>
      <c r="J49" s="21" t="s">
        <v>22</v>
      </c>
      <c r="K49" s="22">
        <f t="shared" si="0"/>
        <v>0.48275862068965519</v>
      </c>
      <c r="L49" s="22">
        <f t="shared" si="0"/>
        <v>0.37142857142857144</v>
      </c>
      <c r="O49" s="21">
        <v>47</v>
      </c>
      <c r="P49" s="7">
        <f t="shared" ca="1" si="5"/>
        <v>0.5</v>
      </c>
      <c r="Q49" s="7">
        <f t="shared" ca="1" si="3"/>
        <v>0.5</v>
      </c>
      <c r="R49" s="7">
        <f t="shared" ca="1" si="1"/>
        <v>0.6</v>
      </c>
      <c r="S49" s="7">
        <f t="shared" ca="1" si="2"/>
        <v>0.4</v>
      </c>
    </row>
    <row r="50" spans="1:19" x14ac:dyDescent="0.15">
      <c r="A50" s="60">
        <v>25</v>
      </c>
      <c r="B50" s="21" t="s">
        <v>21</v>
      </c>
      <c r="C50" s="21">
        <f>[64]PARS_nsy_stat!B50</f>
        <v>8</v>
      </c>
      <c r="D50" s="21">
        <f>[64]PARS_nsy_stat!C50</f>
        <v>22</v>
      </c>
      <c r="E50" s="22">
        <f t="shared" ref="E50:F50" si="44">C50/(C50+C51)</f>
        <v>0.5</v>
      </c>
      <c r="F50" s="22">
        <f t="shared" si="44"/>
        <v>0.81481481481481477</v>
      </c>
      <c r="I50" s="60">
        <v>25</v>
      </c>
      <c r="J50" s="21" t="s">
        <v>21</v>
      </c>
      <c r="K50" s="22">
        <f t="shared" si="0"/>
        <v>0.5</v>
      </c>
      <c r="L50" s="22">
        <f t="shared" si="0"/>
        <v>0.81481481481481477</v>
      </c>
      <c r="O50" s="21">
        <v>48</v>
      </c>
      <c r="P50" s="7">
        <f t="shared" ca="1" si="5"/>
        <v>0.54545454545454541</v>
      </c>
      <c r="Q50" s="7">
        <f t="shared" ca="1" si="3"/>
        <v>0.45454545454545453</v>
      </c>
      <c r="R50" s="7">
        <f t="shared" ca="1" si="1"/>
        <v>0.58823529411764708</v>
      </c>
      <c r="S50" s="7">
        <f t="shared" ca="1" si="2"/>
        <v>0.41176470588235292</v>
      </c>
    </row>
    <row r="51" spans="1:19" x14ac:dyDescent="0.15">
      <c r="A51" s="60"/>
      <c r="B51" s="21" t="s">
        <v>22</v>
      </c>
      <c r="C51" s="21">
        <f>[64]PARS_nsy_stat!B51</f>
        <v>8</v>
      </c>
      <c r="D51" s="21">
        <f>[64]PARS_nsy_stat!C51</f>
        <v>5</v>
      </c>
      <c r="E51" s="22">
        <f t="shared" ref="E51:F51" si="45">C51/(C50+C51)</f>
        <v>0.5</v>
      </c>
      <c r="F51" s="22">
        <f t="shared" si="45"/>
        <v>0.18518518518518517</v>
      </c>
      <c r="I51" s="60"/>
      <c r="J51" s="21" t="s">
        <v>22</v>
      </c>
      <c r="K51" s="22">
        <f t="shared" si="0"/>
        <v>0.5</v>
      </c>
      <c r="L51" s="22">
        <f t="shared" si="0"/>
        <v>0.18518518518518517</v>
      </c>
      <c r="O51" s="21">
        <v>49</v>
      </c>
      <c r="P51" s="7">
        <f t="shared" ca="1" si="5"/>
        <v>0.23529411764705882</v>
      </c>
      <c r="Q51" s="7">
        <f t="shared" ca="1" si="3"/>
        <v>0.76470588235294112</v>
      </c>
      <c r="R51" s="7">
        <f t="shared" ca="1" si="1"/>
        <v>0.53333333333333333</v>
      </c>
      <c r="S51" s="7">
        <f t="shared" ca="1" si="2"/>
        <v>0.46666666666666667</v>
      </c>
    </row>
    <row r="52" spans="1:19" x14ac:dyDescent="0.15">
      <c r="A52" s="60">
        <v>26</v>
      </c>
      <c r="B52" s="21" t="s">
        <v>21</v>
      </c>
      <c r="C52" s="21">
        <f>[64]PARS_nsy_stat!B52</f>
        <v>14</v>
      </c>
      <c r="D52" s="21">
        <f>[64]PARS_nsy_stat!C52</f>
        <v>24</v>
      </c>
      <c r="E52" s="22">
        <f t="shared" ref="E52:F52" si="46">C52/(C52+C53)</f>
        <v>0.58333333333333337</v>
      </c>
      <c r="F52" s="22">
        <f t="shared" si="46"/>
        <v>0.61538461538461542</v>
      </c>
      <c r="I52" s="60">
        <v>26</v>
      </c>
      <c r="J52" s="21" t="s">
        <v>21</v>
      </c>
      <c r="K52" s="22">
        <f t="shared" si="0"/>
        <v>0.58333333333333337</v>
      </c>
      <c r="L52" s="22">
        <f t="shared" si="0"/>
        <v>0.61538461538461542</v>
      </c>
      <c r="O52" s="21">
        <v>50</v>
      </c>
      <c r="P52" s="7">
        <f t="shared" ca="1" si="5"/>
        <v>0.6</v>
      </c>
      <c r="Q52" s="7">
        <f t="shared" ca="1" si="3"/>
        <v>0.4</v>
      </c>
      <c r="R52" s="7">
        <f t="shared" ca="1" si="1"/>
        <v>0.8</v>
      </c>
      <c r="S52" s="7">
        <f t="shared" ca="1" si="2"/>
        <v>0.2</v>
      </c>
    </row>
    <row r="53" spans="1:19" x14ac:dyDescent="0.15">
      <c r="A53" s="60"/>
      <c r="B53" s="21" t="s">
        <v>22</v>
      </c>
      <c r="C53" s="21">
        <f>[64]PARS_nsy_stat!B53</f>
        <v>10</v>
      </c>
      <c r="D53" s="21">
        <f>[64]PARS_nsy_stat!C53</f>
        <v>15</v>
      </c>
      <c r="E53" s="22">
        <f t="shared" ref="E53:F53" si="47">C53/(C52+C53)</f>
        <v>0.41666666666666669</v>
      </c>
      <c r="F53" s="22">
        <f t="shared" si="47"/>
        <v>0.38461538461538464</v>
      </c>
      <c r="I53" s="60"/>
      <c r="J53" s="21" t="s">
        <v>22</v>
      </c>
      <c r="K53" s="22">
        <f t="shared" si="0"/>
        <v>0.41666666666666669</v>
      </c>
      <c r="L53" s="22">
        <f t="shared" si="0"/>
        <v>0.38461538461538464</v>
      </c>
      <c r="O53" s="21">
        <v>51</v>
      </c>
      <c r="P53" s="7">
        <f t="shared" ca="1" si="5"/>
        <v>0.58333333333333337</v>
      </c>
      <c r="Q53" s="7">
        <f t="shared" ca="1" si="3"/>
        <v>0.41666666666666669</v>
      </c>
      <c r="R53" s="7">
        <f t="shared" ca="1" si="1"/>
        <v>1</v>
      </c>
      <c r="S53" s="7">
        <f t="shared" ca="1" si="2"/>
        <v>0</v>
      </c>
    </row>
    <row r="54" spans="1:19" x14ac:dyDescent="0.15">
      <c r="A54" s="60">
        <v>27</v>
      </c>
      <c r="B54" s="21" t="s">
        <v>21</v>
      </c>
      <c r="C54" s="21">
        <f>[64]PARS_nsy_stat!B54</f>
        <v>12</v>
      </c>
      <c r="D54" s="21">
        <f>[64]PARS_nsy_stat!C54</f>
        <v>21</v>
      </c>
      <c r="E54" s="22">
        <f t="shared" ref="E54:F54" si="48">C54/(C54+C55)</f>
        <v>0.42857142857142855</v>
      </c>
      <c r="F54" s="22">
        <f t="shared" si="48"/>
        <v>0.67741935483870963</v>
      </c>
      <c r="I54" s="60">
        <v>27</v>
      </c>
      <c r="J54" s="21" t="s">
        <v>21</v>
      </c>
      <c r="K54" s="22">
        <f t="shared" si="0"/>
        <v>0.42857142857142855</v>
      </c>
      <c r="L54" s="22">
        <f t="shared" si="0"/>
        <v>0.67741935483870963</v>
      </c>
      <c r="O54" s="21">
        <v>52</v>
      </c>
      <c r="P54" s="7">
        <f t="shared" ca="1" si="5"/>
        <v>0.6428571428571429</v>
      </c>
      <c r="Q54" s="7">
        <f t="shared" ca="1" si="3"/>
        <v>0.35714285714285715</v>
      </c>
      <c r="R54" s="7">
        <f t="shared" ca="1" si="1"/>
        <v>0.5</v>
      </c>
      <c r="S54" s="7">
        <f t="shared" ca="1" si="2"/>
        <v>0.5</v>
      </c>
    </row>
    <row r="55" spans="1:19" x14ac:dyDescent="0.15">
      <c r="A55" s="60"/>
      <c r="B55" s="21" t="s">
        <v>22</v>
      </c>
      <c r="C55" s="21">
        <f>[64]PARS_nsy_stat!B55</f>
        <v>16</v>
      </c>
      <c r="D55" s="21">
        <f>[64]PARS_nsy_stat!C55</f>
        <v>10</v>
      </c>
      <c r="E55" s="22">
        <f t="shared" ref="E55:F55" si="49">C55/(C54+C55)</f>
        <v>0.5714285714285714</v>
      </c>
      <c r="F55" s="22">
        <f t="shared" si="49"/>
        <v>0.32258064516129031</v>
      </c>
      <c r="I55" s="60"/>
      <c r="J55" s="21" t="s">
        <v>22</v>
      </c>
      <c r="K55" s="22">
        <f t="shared" si="0"/>
        <v>0.5714285714285714</v>
      </c>
      <c r="L55" s="22">
        <f t="shared" si="0"/>
        <v>0.32258064516129031</v>
      </c>
      <c r="O55" s="21">
        <v>53</v>
      </c>
      <c r="P55" s="7">
        <f t="shared" ca="1" si="5"/>
        <v>0.5</v>
      </c>
      <c r="Q55" s="7">
        <f t="shared" ca="1" si="3"/>
        <v>0.5</v>
      </c>
      <c r="R55" s="7">
        <f t="shared" ca="1" si="1"/>
        <v>0.72727272727272729</v>
      </c>
      <c r="S55" s="7">
        <f t="shared" ca="1" si="2"/>
        <v>0.27272727272727271</v>
      </c>
    </row>
    <row r="56" spans="1:19" x14ac:dyDescent="0.15">
      <c r="A56" s="60">
        <v>28</v>
      </c>
      <c r="B56" s="21" t="s">
        <v>21</v>
      </c>
      <c r="C56" s="21">
        <f>[64]PARS_nsy_stat!B56</f>
        <v>12</v>
      </c>
      <c r="D56" s="21">
        <f>[64]PARS_nsy_stat!C56</f>
        <v>16</v>
      </c>
      <c r="E56" s="22">
        <f t="shared" ref="E56:F56" si="50">C56/(C56+C57)</f>
        <v>0.63157894736842102</v>
      </c>
      <c r="F56" s="22">
        <f t="shared" si="50"/>
        <v>0.66666666666666663</v>
      </c>
      <c r="I56" s="60">
        <v>28</v>
      </c>
      <c r="J56" s="21" t="s">
        <v>21</v>
      </c>
      <c r="K56" s="22">
        <f t="shared" si="0"/>
        <v>0.63157894736842102</v>
      </c>
      <c r="L56" s="22">
        <f t="shared" si="0"/>
        <v>0.66666666666666663</v>
      </c>
      <c r="O56" s="21">
        <v>54</v>
      </c>
      <c r="P56" s="7">
        <f t="shared" ca="1" si="5"/>
        <v>0.5714285714285714</v>
      </c>
      <c r="Q56" s="7">
        <f t="shared" ca="1" si="3"/>
        <v>0.42857142857142855</v>
      </c>
      <c r="R56" s="7">
        <f t="shared" ca="1" si="1"/>
        <v>0.56521739130434778</v>
      </c>
      <c r="S56" s="7">
        <f t="shared" ca="1" si="2"/>
        <v>0.43478260869565216</v>
      </c>
    </row>
    <row r="57" spans="1:19" x14ac:dyDescent="0.15">
      <c r="A57" s="60"/>
      <c r="B57" s="21" t="s">
        <v>22</v>
      </c>
      <c r="C57" s="21">
        <f>[64]PARS_nsy_stat!B57</f>
        <v>7</v>
      </c>
      <c r="D57" s="21">
        <f>[64]PARS_nsy_stat!C57</f>
        <v>8</v>
      </c>
      <c r="E57" s="22">
        <f t="shared" ref="E57:F57" si="51">C57/(C56+C57)</f>
        <v>0.36842105263157893</v>
      </c>
      <c r="F57" s="22">
        <f t="shared" si="51"/>
        <v>0.33333333333333331</v>
      </c>
      <c r="I57" s="60"/>
      <c r="J57" s="21" t="s">
        <v>22</v>
      </c>
      <c r="K57" s="22">
        <f t="shared" si="0"/>
        <v>0.36842105263157893</v>
      </c>
      <c r="L57" s="22">
        <f t="shared" si="0"/>
        <v>0.33333333333333331</v>
      </c>
      <c r="O57" s="21">
        <v>55</v>
      </c>
      <c r="P57" s="7">
        <f t="shared" ca="1" si="5"/>
        <v>0.88888888888888884</v>
      </c>
      <c r="Q57" s="7">
        <f t="shared" ca="1" si="3"/>
        <v>0.1111111111111111</v>
      </c>
      <c r="R57" s="7">
        <f t="shared" ca="1" si="1"/>
        <v>0.53846153846153844</v>
      </c>
      <c r="S57" s="7">
        <f t="shared" ca="1" si="2"/>
        <v>0.46153846153846156</v>
      </c>
    </row>
    <row r="58" spans="1:19" x14ac:dyDescent="0.15">
      <c r="A58" s="60">
        <v>29</v>
      </c>
      <c r="B58" s="21" t="s">
        <v>21</v>
      </c>
      <c r="C58" s="21">
        <f>[64]PARS_nsy_stat!B58</f>
        <v>12</v>
      </c>
      <c r="D58" s="21">
        <f>[64]PARS_nsy_stat!C58</f>
        <v>13</v>
      </c>
      <c r="E58" s="22">
        <f t="shared" ref="E58:F58" si="52">C58/(C58+C59)</f>
        <v>0.52173913043478259</v>
      </c>
      <c r="F58" s="22">
        <f t="shared" si="52"/>
        <v>0.59090909090909094</v>
      </c>
      <c r="I58" s="60">
        <v>29</v>
      </c>
      <c r="J58" s="21" t="s">
        <v>21</v>
      </c>
      <c r="K58" s="22">
        <f t="shared" si="0"/>
        <v>0.52173913043478259</v>
      </c>
      <c r="L58" s="22">
        <f t="shared" si="0"/>
        <v>0.59090909090909094</v>
      </c>
      <c r="O58" s="21">
        <v>56</v>
      </c>
      <c r="P58" s="7">
        <f t="shared" ca="1" si="5"/>
        <v>0.53333333333333333</v>
      </c>
      <c r="Q58" s="7">
        <f t="shared" ca="1" si="3"/>
        <v>0.46666666666666667</v>
      </c>
      <c r="R58" s="7">
        <f t="shared" ca="1" si="1"/>
        <v>0.61538461538461542</v>
      </c>
      <c r="S58" s="7">
        <f t="shared" ca="1" si="2"/>
        <v>0.38461538461538464</v>
      </c>
    </row>
    <row r="59" spans="1:19" x14ac:dyDescent="0.15">
      <c r="A59" s="60"/>
      <c r="B59" s="21" t="s">
        <v>22</v>
      </c>
      <c r="C59" s="21">
        <f>[64]PARS_nsy_stat!B59</f>
        <v>11</v>
      </c>
      <c r="D59" s="21">
        <f>[64]PARS_nsy_stat!C59</f>
        <v>9</v>
      </c>
      <c r="E59" s="22">
        <f t="shared" ref="E59:F59" si="53">C59/(C58+C59)</f>
        <v>0.47826086956521741</v>
      </c>
      <c r="F59" s="22">
        <f t="shared" si="53"/>
        <v>0.40909090909090912</v>
      </c>
      <c r="I59" s="60"/>
      <c r="J59" s="21" t="s">
        <v>22</v>
      </c>
      <c r="K59" s="22">
        <f t="shared" si="0"/>
        <v>0.47826086956521741</v>
      </c>
      <c r="L59" s="22">
        <f t="shared" si="0"/>
        <v>0.40909090909090912</v>
      </c>
      <c r="O59" s="21">
        <v>57</v>
      </c>
      <c r="P59" s="7">
        <f t="shared" ca="1" si="5"/>
        <v>0.7142857142857143</v>
      </c>
      <c r="Q59" s="7">
        <f t="shared" ca="1" si="3"/>
        <v>0.2857142857142857</v>
      </c>
      <c r="R59" s="7">
        <f t="shared" ca="1" si="1"/>
        <v>0.7142857142857143</v>
      </c>
      <c r="S59" s="7">
        <f t="shared" ca="1" si="2"/>
        <v>0.2857142857142857</v>
      </c>
    </row>
    <row r="60" spans="1:19" x14ac:dyDescent="0.15">
      <c r="A60" s="60">
        <v>30</v>
      </c>
      <c r="B60" s="21" t="s">
        <v>21</v>
      </c>
      <c r="C60" s="21">
        <f>[64]PARS_nsy_stat!B60</f>
        <v>8</v>
      </c>
      <c r="D60" s="21">
        <f>[64]PARS_nsy_stat!C60</f>
        <v>19</v>
      </c>
      <c r="E60" s="22">
        <f t="shared" ref="E60:F60" si="54">C60/(C60+C61)</f>
        <v>0.36363636363636365</v>
      </c>
      <c r="F60" s="22">
        <f t="shared" si="54"/>
        <v>0.65517241379310343</v>
      </c>
      <c r="I60" s="60">
        <v>30</v>
      </c>
      <c r="J60" s="21" t="s">
        <v>21</v>
      </c>
      <c r="K60" s="22">
        <f t="shared" si="0"/>
        <v>0.36363636363636365</v>
      </c>
      <c r="L60" s="22">
        <f t="shared" si="0"/>
        <v>0.65517241379310343</v>
      </c>
      <c r="O60" s="21">
        <v>58</v>
      </c>
      <c r="P60" s="7">
        <f t="shared" ca="1" si="5"/>
        <v>0.45</v>
      </c>
      <c r="Q60" s="7">
        <f t="shared" ca="1" si="3"/>
        <v>0.55000000000000004</v>
      </c>
      <c r="R60" s="7">
        <f t="shared" ca="1" si="1"/>
        <v>0.73333333333333328</v>
      </c>
      <c r="S60" s="7">
        <f t="shared" ca="1" si="2"/>
        <v>0.26666666666666666</v>
      </c>
    </row>
    <row r="61" spans="1:19" x14ac:dyDescent="0.15">
      <c r="A61" s="60"/>
      <c r="B61" s="21" t="s">
        <v>22</v>
      </c>
      <c r="C61" s="21">
        <f>[64]PARS_nsy_stat!B61</f>
        <v>14</v>
      </c>
      <c r="D61" s="21">
        <f>[64]PARS_nsy_stat!C61</f>
        <v>10</v>
      </c>
      <c r="E61" s="22">
        <f t="shared" ref="E61:F61" si="55">C61/(C60+C61)</f>
        <v>0.63636363636363635</v>
      </c>
      <c r="F61" s="22">
        <f t="shared" si="55"/>
        <v>0.34482758620689657</v>
      </c>
      <c r="I61" s="60"/>
      <c r="J61" s="21" t="s">
        <v>22</v>
      </c>
      <c r="K61" s="22">
        <f t="shared" si="0"/>
        <v>0.63636363636363635</v>
      </c>
      <c r="L61" s="22">
        <f t="shared" si="0"/>
        <v>0.34482758620689657</v>
      </c>
      <c r="O61" s="21">
        <v>59</v>
      </c>
      <c r="P61" s="7">
        <f t="shared" ca="1" si="5"/>
        <v>0.66666666666666663</v>
      </c>
      <c r="Q61" s="7">
        <f t="shared" ca="1" si="3"/>
        <v>0.33333333333333331</v>
      </c>
      <c r="R61" s="7">
        <f t="shared" ca="1" si="1"/>
        <v>0.625</v>
      </c>
      <c r="S61" s="7">
        <f t="shared" ca="1" si="2"/>
        <v>0.375</v>
      </c>
    </row>
    <row r="62" spans="1:19" x14ac:dyDescent="0.15">
      <c r="A62" s="60">
        <v>31</v>
      </c>
      <c r="B62" s="21" t="s">
        <v>21</v>
      </c>
      <c r="C62" s="21">
        <f>[64]PARS_nsy_stat!B62</f>
        <v>14</v>
      </c>
      <c r="D62" s="21">
        <f>[64]PARS_nsy_stat!C62</f>
        <v>19</v>
      </c>
      <c r="E62" s="22">
        <f t="shared" ref="E62:F62" si="56">C62/(C62+C63)</f>
        <v>0.56000000000000005</v>
      </c>
      <c r="F62" s="22">
        <f t="shared" si="56"/>
        <v>0.6785714285714286</v>
      </c>
      <c r="I62" s="60">
        <v>31</v>
      </c>
      <c r="J62" s="21" t="s">
        <v>21</v>
      </c>
      <c r="K62" s="22">
        <f t="shared" si="0"/>
        <v>0.56000000000000005</v>
      </c>
      <c r="L62" s="22">
        <f t="shared" si="0"/>
        <v>0.6785714285714286</v>
      </c>
      <c r="O62" s="21">
        <v>60</v>
      </c>
      <c r="P62" s="7">
        <f t="shared" ca="1" si="5"/>
        <v>0.69230769230769229</v>
      </c>
      <c r="Q62" s="7">
        <f t="shared" ca="1" si="3"/>
        <v>0.30769230769230771</v>
      </c>
      <c r="R62" s="7">
        <f t="shared" ca="1" si="1"/>
        <v>0.75</v>
      </c>
      <c r="S62" s="7">
        <f t="shared" ca="1" si="2"/>
        <v>0.25</v>
      </c>
    </row>
    <row r="63" spans="1:19" x14ac:dyDescent="0.15">
      <c r="A63" s="60"/>
      <c r="B63" s="21" t="s">
        <v>22</v>
      </c>
      <c r="C63" s="21">
        <f>[64]PARS_nsy_stat!B63</f>
        <v>11</v>
      </c>
      <c r="D63" s="21">
        <f>[64]PARS_nsy_stat!C63</f>
        <v>9</v>
      </c>
      <c r="E63" s="22">
        <f t="shared" ref="E63:F63" si="57">C63/(C62+C63)</f>
        <v>0.44</v>
      </c>
      <c r="F63" s="22">
        <f t="shared" si="57"/>
        <v>0.32142857142857145</v>
      </c>
      <c r="I63" s="60"/>
      <c r="J63" s="21" t="s">
        <v>22</v>
      </c>
      <c r="K63" s="22">
        <f t="shared" si="0"/>
        <v>0.44</v>
      </c>
      <c r="L63" s="22">
        <f t="shared" si="0"/>
        <v>0.32142857142857145</v>
      </c>
      <c r="O63" s="21">
        <v>61</v>
      </c>
      <c r="P63" s="7">
        <f t="shared" ca="1" si="5"/>
        <v>0.5625</v>
      </c>
      <c r="Q63" s="7">
        <f t="shared" ca="1" si="3"/>
        <v>0.4375</v>
      </c>
      <c r="R63" s="7">
        <f t="shared" ca="1" si="1"/>
        <v>0.54545454545454541</v>
      </c>
      <c r="S63" s="7">
        <f t="shared" ca="1" si="2"/>
        <v>0.45454545454545453</v>
      </c>
    </row>
    <row r="64" spans="1:19" x14ac:dyDescent="0.15">
      <c r="A64" s="60">
        <v>32</v>
      </c>
      <c r="B64" s="21" t="s">
        <v>21</v>
      </c>
      <c r="C64" s="21">
        <f>[64]PARS_nsy_stat!B64</f>
        <v>12</v>
      </c>
      <c r="D64" s="21">
        <f>[64]PARS_nsy_stat!C64</f>
        <v>17</v>
      </c>
      <c r="E64" s="22">
        <f t="shared" ref="E64:F64" si="58">C64/(C64+C65)</f>
        <v>0.5714285714285714</v>
      </c>
      <c r="F64" s="22">
        <f t="shared" si="58"/>
        <v>0.73913043478260865</v>
      </c>
      <c r="I64" s="60">
        <v>32</v>
      </c>
      <c r="J64" s="21" t="s">
        <v>21</v>
      </c>
      <c r="K64" s="22">
        <f t="shared" si="0"/>
        <v>0.5714285714285714</v>
      </c>
      <c r="L64" s="22">
        <f t="shared" si="0"/>
        <v>0.73913043478260865</v>
      </c>
      <c r="O64" s="21">
        <v>62</v>
      </c>
      <c r="P64" s="7">
        <f t="shared" ca="1" si="5"/>
        <v>0.66666666666666663</v>
      </c>
      <c r="Q64" s="7">
        <f t="shared" ca="1" si="3"/>
        <v>0.33333333333333331</v>
      </c>
      <c r="R64" s="7">
        <f t="shared" ca="1" si="1"/>
        <v>0.45454545454545453</v>
      </c>
      <c r="S64" s="7">
        <f t="shared" ca="1" si="2"/>
        <v>0.54545454545454541</v>
      </c>
    </row>
    <row r="65" spans="1:19" x14ac:dyDescent="0.15">
      <c r="A65" s="60"/>
      <c r="B65" s="21" t="s">
        <v>22</v>
      </c>
      <c r="C65" s="21">
        <f>[64]PARS_nsy_stat!B65</f>
        <v>9</v>
      </c>
      <c r="D65" s="21">
        <f>[64]PARS_nsy_stat!C65</f>
        <v>6</v>
      </c>
      <c r="E65" s="22">
        <f t="shared" ref="E65:F65" si="59">C65/(C64+C65)</f>
        <v>0.42857142857142855</v>
      </c>
      <c r="F65" s="22">
        <f t="shared" si="59"/>
        <v>0.2608695652173913</v>
      </c>
      <c r="I65" s="60"/>
      <c r="J65" s="21" t="s">
        <v>22</v>
      </c>
      <c r="K65" s="22">
        <f t="shared" si="0"/>
        <v>0.42857142857142855</v>
      </c>
      <c r="L65" s="22">
        <f t="shared" si="0"/>
        <v>0.2608695652173913</v>
      </c>
      <c r="O65" s="21">
        <v>63</v>
      </c>
      <c r="P65" s="7">
        <f t="shared" ca="1" si="5"/>
        <v>0.625</v>
      </c>
      <c r="Q65" s="7">
        <f t="shared" ca="1" si="3"/>
        <v>0.375</v>
      </c>
      <c r="R65" s="7">
        <f t="shared" ca="1" si="1"/>
        <v>0.6</v>
      </c>
      <c r="S65" s="7">
        <f t="shared" ca="1" si="2"/>
        <v>0.4</v>
      </c>
    </row>
    <row r="66" spans="1:19" x14ac:dyDescent="0.15">
      <c r="A66" s="60">
        <v>33</v>
      </c>
      <c r="B66" s="21" t="s">
        <v>21</v>
      </c>
      <c r="C66" s="21">
        <f>[64]PARS_nsy_stat!B66</f>
        <v>8</v>
      </c>
      <c r="D66" s="21">
        <f>[64]PARS_nsy_stat!C66</f>
        <v>13</v>
      </c>
      <c r="E66" s="22">
        <f t="shared" ref="E66:F66" si="60">C66/(C66+C67)</f>
        <v>0.38095238095238093</v>
      </c>
      <c r="F66" s="22">
        <f t="shared" si="60"/>
        <v>0.68421052631578949</v>
      </c>
      <c r="I66" s="60">
        <v>33</v>
      </c>
      <c r="J66" s="21" t="s">
        <v>21</v>
      </c>
      <c r="K66" s="22">
        <f t="shared" ref="K66:L129" si="61">E66</f>
        <v>0.38095238095238093</v>
      </c>
      <c r="L66" s="22">
        <f t="shared" si="61"/>
        <v>0.68421052631578949</v>
      </c>
      <c r="O66" s="21">
        <v>64</v>
      </c>
      <c r="P66" s="7">
        <f t="shared" ca="1" si="5"/>
        <v>0.66666666666666663</v>
      </c>
      <c r="Q66" s="7">
        <f t="shared" ca="1" si="3"/>
        <v>0.33333333333333331</v>
      </c>
      <c r="R66" s="7">
        <f t="shared" ca="1" si="1"/>
        <v>0.6</v>
      </c>
      <c r="S66" s="7">
        <f t="shared" ca="1" si="2"/>
        <v>0.4</v>
      </c>
    </row>
    <row r="67" spans="1:19" x14ac:dyDescent="0.15">
      <c r="A67" s="60"/>
      <c r="B67" s="21" t="s">
        <v>22</v>
      </c>
      <c r="C67" s="21">
        <f>[64]PARS_nsy_stat!B67</f>
        <v>13</v>
      </c>
      <c r="D67" s="21">
        <f>[64]PARS_nsy_stat!C67</f>
        <v>6</v>
      </c>
      <c r="E67" s="22">
        <f t="shared" ref="E67:F67" si="62">C67/(C66+C67)</f>
        <v>0.61904761904761907</v>
      </c>
      <c r="F67" s="22">
        <f t="shared" si="62"/>
        <v>0.31578947368421051</v>
      </c>
      <c r="I67" s="60"/>
      <c r="J67" s="21" t="s">
        <v>22</v>
      </c>
      <c r="K67" s="22">
        <f t="shared" si="61"/>
        <v>0.61904761904761907</v>
      </c>
      <c r="L67" s="22">
        <f t="shared" si="61"/>
        <v>0.31578947368421051</v>
      </c>
      <c r="O67" s="21">
        <v>65</v>
      </c>
      <c r="P67" s="7">
        <f t="shared" ca="1" si="5"/>
        <v>0.8</v>
      </c>
      <c r="Q67" s="7">
        <f t="shared" ca="1" si="3"/>
        <v>0.2</v>
      </c>
      <c r="R67" s="7">
        <f t="shared" ca="1" si="1"/>
        <v>0.375</v>
      </c>
      <c r="S67" s="7">
        <f t="shared" ca="1" si="2"/>
        <v>0.625</v>
      </c>
    </row>
    <row r="68" spans="1:19" x14ac:dyDescent="0.15">
      <c r="A68" s="60">
        <v>34</v>
      </c>
      <c r="B68" s="21" t="s">
        <v>21</v>
      </c>
      <c r="C68" s="21">
        <f>[64]PARS_nsy_stat!B68</f>
        <v>12</v>
      </c>
      <c r="D68" s="21">
        <f>[64]PARS_nsy_stat!C68</f>
        <v>11</v>
      </c>
      <c r="E68" s="22">
        <f t="shared" ref="E68:F68" si="63">C68/(C68+C69)</f>
        <v>0.5714285714285714</v>
      </c>
      <c r="F68" s="22">
        <f t="shared" si="63"/>
        <v>1</v>
      </c>
      <c r="I68" s="60">
        <v>34</v>
      </c>
      <c r="J68" s="21" t="s">
        <v>21</v>
      </c>
      <c r="K68" s="22">
        <f t="shared" si="61"/>
        <v>0.5714285714285714</v>
      </c>
      <c r="L68" s="22">
        <f t="shared" si="61"/>
        <v>1</v>
      </c>
      <c r="O68" s="21">
        <v>66</v>
      </c>
      <c r="P68" s="7">
        <f t="shared" ca="1" si="5"/>
        <v>0.5714285714285714</v>
      </c>
      <c r="Q68" s="7">
        <f t="shared" ca="1" si="3"/>
        <v>0.42857142857142855</v>
      </c>
      <c r="R68" s="7">
        <f t="shared" ref="R68:R129" ca="1" si="64">INDIRECT("l"&amp;ROW(L66)*2)</f>
        <v>0.6</v>
      </c>
      <c r="S68" s="7">
        <f t="shared" ref="S68:S129" ca="1" si="65">INDIRECT("l"&amp;ROW(L66)*2+1)</f>
        <v>0.4</v>
      </c>
    </row>
    <row r="69" spans="1:19" x14ac:dyDescent="0.15">
      <c r="A69" s="60"/>
      <c r="B69" s="21" t="s">
        <v>22</v>
      </c>
      <c r="C69" s="21">
        <f>[64]PARS_nsy_stat!B69</f>
        <v>9</v>
      </c>
      <c r="D69" s="21">
        <f>[64]PARS_nsy_stat!C69</f>
        <v>0</v>
      </c>
      <c r="E69" s="22">
        <f t="shared" ref="E69:F69" si="66">C69/(C68+C69)</f>
        <v>0.42857142857142855</v>
      </c>
      <c r="F69" s="22">
        <f t="shared" si="66"/>
        <v>0</v>
      </c>
      <c r="I69" s="60"/>
      <c r="J69" s="21" t="s">
        <v>22</v>
      </c>
      <c r="K69" s="22">
        <f t="shared" si="61"/>
        <v>0.42857142857142855</v>
      </c>
      <c r="L69" s="22">
        <f t="shared" si="61"/>
        <v>0</v>
      </c>
      <c r="O69" s="21">
        <v>67</v>
      </c>
      <c r="P69" s="7">
        <f t="shared" ca="1" si="5"/>
        <v>0.53846153846153844</v>
      </c>
      <c r="Q69" s="7">
        <f t="shared" ref="Q69:Q129" ca="1" si="67">INDIRECT("K"&amp;ROW(J67)*2+1)</f>
        <v>0.46153846153846156</v>
      </c>
      <c r="R69" s="7">
        <f t="shared" ca="1" si="64"/>
        <v>0.42857142857142855</v>
      </c>
      <c r="S69" s="7">
        <f t="shared" ca="1" si="65"/>
        <v>0.5714285714285714</v>
      </c>
    </row>
    <row r="70" spans="1:19" x14ac:dyDescent="0.15">
      <c r="A70" s="60">
        <v>35</v>
      </c>
      <c r="B70" s="21" t="s">
        <v>21</v>
      </c>
      <c r="C70" s="21">
        <f>[64]PARS_nsy_stat!B70</f>
        <v>4</v>
      </c>
      <c r="D70" s="21">
        <f>[64]PARS_nsy_stat!C70</f>
        <v>15</v>
      </c>
      <c r="E70" s="22">
        <f t="shared" ref="E70:F70" si="68">C70/(C70+C71)</f>
        <v>0.2857142857142857</v>
      </c>
      <c r="F70" s="22">
        <f t="shared" si="68"/>
        <v>0.7142857142857143</v>
      </c>
      <c r="I70" s="60">
        <v>35</v>
      </c>
      <c r="J70" s="21" t="s">
        <v>21</v>
      </c>
      <c r="K70" s="22">
        <f t="shared" si="61"/>
        <v>0.2857142857142857</v>
      </c>
      <c r="L70" s="22">
        <f t="shared" si="61"/>
        <v>0.7142857142857143</v>
      </c>
      <c r="O70" s="21">
        <v>68</v>
      </c>
      <c r="P70" s="7">
        <f t="shared" ca="1" si="5"/>
        <v>0.54545454545454541</v>
      </c>
      <c r="Q70" s="7">
        <f t="shared" ca="1" si="67"/>
        <v>0.45454545454545453</v>
      </c>
      <c r="R70" s="7">
        <f t="shared" ca="1" si="64"/>
        <v>0.69230769230769229</v>
      </c>
      <c r="S70" s="7">
        <f t="shared" ca="1" si="65"/>
        <v>0.30769230769230771</v>
      </c>
    </row>
    <row r="71" spans="1:19" x14ac:dyDescent="0.15">
      <c r="A71" s="60"/>
      <c r="B71" s="21" t="s">
        <v>22</v>
      </c>
      <c r="C71" s="21">
        <f>[64]PARS_nsy_stat!B71</f>
        <v>10</v>
      </c>
      <c r="D71" s="21">
        <f>[64]PARS_nsy_stat!C71</f>
        <v>6</v>
      </c>
      <c r="E71" s="22">
        <f t="shared" ref="E71:F71" si="69">C71/(C70+C71)</f>
        <v>0.7142857142857143</v>
      </c>
      <c r="F71" s="22">
        <f t="shared" si="69"/>
        <v>0.2857142857142857</v>
      </c>
      <c r="I71" s="60"/>
      <c r="J71" s="21" t="s">
        <v>22</v>
      </c>
      <c r="K71" s="22">
        <f t="shared" si="61"/>
        <v>0.7142857142857143</v>
      </c>
      <c r="L71" s="22">
        <f t="shared" si="61"/>
        <v>0.2857142857142857</v>
      </c>
      <c r="O71" s="21">
        <v>69</v>
      </c>
      <c r="P71" s="7">
        <f t="shared" ca="1" si="5"/>
        <v>0.66666666666666663</v>
      </c>
      <c r="Q71" s="7">
        <f t="shared" ca="1" si="67"/>
        <v>0.33333333333333331</v>
      </c>
      <c r="R71" s="7">
        <f t="shared" ca="1" si="64"/>
        <v>0.55555555555555558</v>
      </c>
      <c r="S71" s="7">
        <f t="shared" ca="1" si="65"/>
        <v>0.44444444444444442</v>
      </c>
    </row>
    <row r="72" spans="1:19" x14ac:dyDescent="0.15">
      <c r="A72" s="60">
        <v>36</v>
      </c>
      <c r="B72" s="21" t="s">
        <v>21</v>
      </c>
      <c r="C72" s="21">
        <f>[64]PARS_nsy_stat!B72</f>
        <v>8</v>
      </c>
      <c r="D72" s="21">
        <f>[64]PARS_nsy_stat!C72</f>
        <v>23</v>
      </c>
      <c r="E72" s="22">
        <f t="shared" ref="E72:F72" si="70">C72/(C72+C73)</f>
        <v>0.44444444444444442</v>
      </c>
      <c r="F72" s="22">
        <f t="shared" si="70"/>
        <v>0.76666666666666672</v>
      </c>
      <c r="I72" s="60">
        <v>36</v>
      </c>
      <c r="J72" s="21" t="s">
        <v>21</v>
      </c>
      <c r="K72" s="22">
        <f t="shared" si="61"/>
        <v>0.44444444444444442</v>
      </c>
      <c r="L72" s="22">
        <f t="shared" si="61"/>
        <v>0.76666666666666672</v>
      </c>
      <c r="O72" s="21">
        <v>70</v>
      </c>
      <c r="P72" s="7">
        <f t="shared" ca="1" si="5"/>
        <v>0.83333333333333337</v>
      </c>
      <c r="Q72" s="7">
        <f t="shared" ca="1" si="67"/>
        <v>0.16666666666666666</v>
      </c>
      <c r="R72" s="7">
        <f t="shared" ca="1" si="64"/>
        <v>0.42857142857142855</v>
      </c>
      <c r="S72" s="7">
        <f t="shared" ca="1" si="65"/>
        <v>0.5714285714285714</v>
      </c>
    </row>
    <row r="73" spans="1:19" x14ac:dyDescent="0.15">
      <c r="A73" s="60"/>
      <c r="B73" s="21" t="s">
        <v>22</v>
      </c>
      <c r="C73" s="21">
        <f>[64]PARS_nsy_stat!B73</f>
        <v>10</v>
      </c>
      <c r="D73" s="21">
        <f>[64]PARS_nsy_stat!C73</f>
        <v>7</v>
      </c>
      <c r="E73" s="22">
        <f t="shared" ref="E73:F73" si="71">C73/(C72+C73)</f>
        <v>0.55555555555555558</v>
      </c>
      <c r="F73" s="22">
        <f t="shared" si="71"/>
        <v>0.23333333333333334</v>
      </c>
      <c r="I73" s="60"/>
      <c r="J73" s="21" t="s">
        <v>22</v>
      </c>
      <c r="K73" s="22">
        <f t="shared" si="61"/>
        <v>0.55555555555555558</v>
      </c>
      <c r="L73" s="22">
        <f t="shared" si="61"/>
        <v>0.23333333333333334</v>
      </c>
      <c r="O73" s="21">
        <v>71</v>
      </c>
      <c r="P73" s="7">
        <f t="shared" ca="1" si="5"/>
        <v>0.625</v>
      </c>
      <c r="Q73" s="7">
        <f t="shared" ca="1" si="67"/>
        <v>0.375</v>
      </c>
      <c r="R73" s="7">
        <f t="shared" ca="1" si="64"/>
        <v>0.5</v>
      </c>
      <c r="S73" s="7">
        <f t="shared" ca="1" si="65"/>
        <v>0.5</v>
      </c>
    </row>
    <row r="74" spans="1:19" x14ac:dyDescent="0.15">
      <c r="A74" s="60">
        <v>37</v>
      </c>
      <c r="B74" s="21" t="s">
        <v>21</v>
      </c>
      <c r="C74" s="21">
        <f>[64]PARS_nsy_stat!B74</f>
        <v>15</v>
      </c>
      <c r="D74" s="21">
        <f>[64]PARS_nsy_stat!C74</f>
        <v>11</v>
      </c>
      <c r="E74" s="22">
        <f t="shared" ref="E74:F74" si="72">C74/(C74+C75)</f>
        <v>0.6</v>
      </c>
      <c r="F74" s="22">
        <f t="shared" si="72"/>
        <v>0.6875</v>
      </c>
      <c r="I74" s="60">
        <v>37</v>
      </c>
      <c r="J74" s="21" t="s">
        <v>21</v>
      </c>
      <c r="K74" s="22">
        <f t="shared" si="61"/>
        <v>0.6</v>
      </c>
      <c r="L74" s="22">
        <f t="shared" si="61"/>
        <v>0.6875</v>
      </c>
      <c r="O74" s="21">
        <v>72</v>
      </c>
      <c r="P74" s="7">
        <f t="shared" ca="1" si="5"/>
        <v>0.5</v>
      </c>
      <c r="Q74" s="7">
        <f t="shared" ca="1" si="67"/>
        <v>0.5</v>
      </c>
      <c r="R74" s="7">
        <f t="shared" ca="1" si="64"/>
        <v>0.75</v>
      </c>
      <c r="S74" s="7">
        <f t="shared" ca="1" si="65"/>
        <v>0.25</v>
      </c>
    </row>
    <row r="75" spans="1:19" x14ac:dyDescent="0.15">
      <c r="A75" s="60"/>
      <c r="B75" s="21" t="s">
        <v>22</v>
      </c>
      <c r="C75" s="21">
        <f>[64]PARS_nsy_stat!B75</f>
        <v>10</v>
      </c>
      <c r="D75" s="21">
        <f>[64]PARS_nsy_stat!C75</f>
        <v>5</v>
      </c>
      <c r="E75" s="22">
        <f t="shared" ref="E75:F75" si="73">C75/(C74+C75)</f>
        <v>0.4</v>
      </c>
      <c r="F75" s="22">
        <f t="shared" si="73"/>
        <v>0.3125</v>
      </c>
      <c r="I75" s="60"/>
      <c r="J75" s="21" t="s">
        <v>22</v>
      </c>
      <c r="K75" s="22">
        <f t="shared" si="61"/>
        <v>0.4</v>
      </c>
      <c r="L75" s="22">
        <f t="shared" si="61"/>
        <v>0.3125</v>
      </c>
      <c r="O75" s="21">
        <v>73</v>
      </c>
      <c r="P75" s="7">
        <f t="shared" ref="P75:P129" ca="1" si="74">INDIRECT("K"&amp;ROW(K73)*2)</f>
        <v>0.2857142857142857</v>
      </c>
      <c r="Q75" s="7">
        <f t="shared" ca="1" si="67"/>
        <v>0.7142857142857143</v>
      </c>
      <c r="R75" s="7">
        <f t="shared" ca="1" si="64"/>
        <v>0.38461538461538464</v>
      </c>
      <c r="S75" s="7">
        <f t="shared" ca="1" si="65"/>
        <v>0.61538461538461542</v>
      </c>
    </row>
    <row r="76" spans="1:19" x14ac:dyDescent="0.15">
      <c r="A76" s="60">
        <v>38</v>
      </c>
      <c r="B76" s="21" t="s">
        <v>21</v>
      </c>
      <c r="C76" s="21">
        <f>[64]PARS_nsy_stat!B76</f>
        <v>5</v>
      </c>
      <c r="D76" s="21">
        <f>[64]PARS_nsy_stat!C76</f>
        <v>9</v>
      </c>
      <c r="E76" s="22">
        <f t="shared" ref="E76:F76" si="75">C76/(C76+C77)</f>
        <v>0.35714285714285715</v>
      </c>
      <c r="F76" s="22">
        <f t="shared" si="75"/>
        <v>0.69230769230769229</v>
      </c>
      <c r="I76" s="60">
        <v>38</v>
      </c>
      <c r="J76" s="21" t="s">
        <v>21</v>
      </c>
      <c r="K76" s="22">
        <f t="shared" si="61"/>
        <v>0.35714285714285715</v>
      </c>
      <c r="L76" s="22">
        <f t="shared" si="61"/>
        <v>0.69230769230769229</v>
      </c>
      <c r="O76" s="21">
        <v>74</v>
      </c>
      <c r="P76" s="7">
        <f t="shared" ca="1" si="74"/>
        <v>0.42857142857142855</v>
      </c>
      <c r="Q76" s="7">
        <f t="shared" ca="1" si="67"/>
        <v>0.5714285714285714</v>
      </c>
      <c r="R76" s="7">
        <f t="shared" ca="1" si="64"/>
        <v>0.83333333333333337</v>
      </c>
      <c r="S76" s="7">
        <f t="shared" ca="1" si="65"/>
        <v>0.16666666666666666</v>
      </c>
    </row>
    <row r="77" spans="1:19" x14ac:dyDescent="0.15">
      <c r="A77" s="60"/>
      <c r="B77" s="21" t="s">
        <v>22</v>
      </c>
      <c r="C77" s="21">
        <f>[64]PARS_nsy_stat!B77</f>
        <v>9</v>
      </c>
      <c r="D77" s="21">
        <f>[64]PARS_nsy_stat!C77</f>
        <v>4</v>
      </c>
      <c r="E77" s="22">
        <f t="shared" ref="E77:F77" si="76">C77/(C76+C77)</f>
        <v>0.6428571428571429</v>
      </c>
      <c r="F77" s="22">
        <f t="shared" si="76"/>
        <v>0.30769230769230771</v>
      </c>
      <c r="I77" s="60"/>
      <c r="J77" s="21" t="s">
        <v>22</v>
      </c>
      <c r="K77" s="22">
        <f t="shared" si="61"/>
        <v>0.6428571428571429</v>
      </c>
      <c r="L77" s="22">
        <f t="shared" si="61"/>
        <v>0.30769230769230771</v>
      </c>
      <c r="O77" s="21">
        <v>75</v>
      </c>
      <c r="P77" s="7">
        <f t="shared" ca="1" si="74"/>
        <v>0.55555555555555558</v>
      </c>
      <c r="Q77" s="7">
        <f t="shared" ca="1" si="67"/>
        <v>0.44444444444444442</v>
      </c>
      <c r="R77" s="7">
        <f t="shared" ca="1" si="64"/>
        <v>0.375</v>
      </c>
      <c r="S77" s="7">
        <f t="shared" ca="1" si="65"/>
        <v>0.625</v>
      </c>
    </row>
    <row r="78" spans="1:19" x14ac:dyDescent="0.15">
      <c r="A78" s="60">
        <v>39</v>
      </c>
      <c r="B78" s="21" t="s">
        <v>21</v>
      </c>
      <c r="C78" s="21">
        <f>[64]PARS_nsy_stat!B78</f>
        <v>13</v>
      </c>
      <c r="D78" s="21">
        <f>[64]PARS_nsy_stat!C78</f>
        <v>13</v>
      </c>
      <c r="E78" s="22">
        <f t="shared" ref="E78:F78" si="77">C78/(C78+C79)</f>
        <v>0.8125</v>
      </c>
      <c r="F78" s="22">
        <f t="shared" si="77"/>
        <v>0.65</v>
      </c>
      <c r="I78" s="60">
        <v>39</v>
      </c>
      <c r="J78" s="21" t="s">
        <v>21</v>
      </c>
      <c r="K78" s="22">
        <f t="shared" si="61"/>
        <v>0.8125</v>
      </c>
      <c r="L78" s="22">
        <f t="shared" si="61"/>
        <v>0.65</v>
      </c>
      <c r="O78" s="21">
        <v>76</v>
      </c>
      <c r="P78" s="7">
        <f t="shared" ca="1" si="74"/>
        <v>0.66666666666666663</v>
      </c>
      <c r="Q78" s="7">
        <f t="shared" ca="1" si="67"/>
        <v>0.33333333333333331</v>
      </c>
      <c r="R78" s="7">
        <f t="shared" ca="1" si="64"/>
        <v>0.3</v>
      </c>
      <c r="S78" s="7">
        <f t="shared" ca="1" si="65"/>
        <v>0.7</v>
      </c>
    </row>
    <row r="79" spans="1:19" x14ac:dyDescent="0.15">
      <c r="A79" s="60"/>
      <c r="B79" s="21" t="s">
        <v>22</v>
      </c>
      <c r="C79" s="21">
        <f>[64]PARS_nsy_stat!B79</f>
        <v>3</v>
      </c>
      <c r="D79" s="21">
        <f>[64]PARS_nsy_stat!C79</f>
        <v>7</v>
      </c>
      <c r="E79" s="22">
        <f t="shared" ref="E79:F79" si="78">C79/(C78+C79)</f>
        <v>0.1875</v>
      </c>
      <c r="F79" s="22">
        <f t="shared" si="78"/>
        <v>0.35</v>
      </c>
      <c r="I79" s="60"/>
      <c r="J79" s="21" t="s">
        <v>22</v>
      </c>
      <c r="K79" s="22">
        <f t="shared" si="61"/>
        <v>0.1875</v>
      </c>
      <c r="L79" s="22">
        <f t="shared" si="61"/>
        <v>0.35</v>
      </c>
      <c r="O79" s="21">
        <v>77</v>
      </c>
      <c r="P79" s="7">
        <f t="shared" ca="1" si="74"/>
        <v>0.41666666666666669</v>
      </c>
      <c r="Q79" s="7">
        <f t="shared" ca="1" si="67"/>
        <v>0.58333333333333337</v>
      </c>
      <c r="R79" s="7">
        <f t="shared" ca="1" si="64"/>
        <v>0.5714285714285714</v>
      </c>
      <c r="S79" s="7">
        <f t="shared" ca="1" si="65"/>
        <v>0.42857142857142855</v>
      </c>
    </row>
    <row r="80" spans="1:19" x14ac:dyDescent="0.15">
      <c r="A80" s="60">
        <v>40</v>
      </c>
      <c r="B80" s="21" t="s">
        <v>21</v>
      </c>
      <c r="C80" s="21">
        <f>[64]PARS_nsy_stat!B80</f>
        <v>15</v>
      </c>
      <c r="D80" s="21">
        <f>[64]PARS_nsy_stat!C80</f>
        <v>12</v>
      </c>
      <c r="E80" s="22">
        <f t="shared" ref="E80:F80" si="79">C80/(C80+C81)</f>
        <v>0.625</v>
      </c>
      <c r="F80" s="22">
        <f t="shared" si="79"/>
        <v>0.66666666666666663</v>
      </c>
      <c r="I80" s="60">
        <v>40</v>
      </c>
      <c r="J80" s="21" t="s">
        <v>21</v>
      </c>
      <c r="K80" s="22">
        <f t="shared" si="61"/>
        <v>0.625</v>
      </c>
      <c r="L80" s="22">
        <f t="shared" si="61"/>
        <v>0.66666666666666663</v>
      </c>
      <c r="O80" s="21">
        <v>78</v>
      </c>
      <c r="P80" s="7">
        <f t="shared" ca="1" si="74"/>
        <v>0.6</v>
      </c>
      <c r="Q80" s="7">
        <f t="shared" ca="1" si="67"/>
        <v>0.4</v>
      </c>
      <c r="R80" s="7">
        <f t="shared" ca="1" si="64"/>
        <v>0.6428571428571429</v>
      </c>
      <c r="S80" s="7">
        <f t="shared" ca="1" si="65"/>
        <v>0.35714285714285715</v>
      </c>
    </row>
    <row r="81" spans="1:19" x14ac:dyDescent="0.15">
      <c r="A81" s="60"/>
      <c r="B81" s="21" t="s">
        <v>22</v>
      </c>
      <c r="C81" s="21">
        <f>[64]PARS_nsy_stat!B81</f>
        <v>9</v>
      </c>
      <c r="D81" s="21">
        <f>[64]PARS_nsy_stat!C81</f>
        <v>6</v>
      </c>
      <c r="E81" s="22">
        <f t="shared" ref="E81:F81" si="80">C81/(C80+C81)</f>
        <v>0.375</v>
      </c>
      <c r="F81" s="22">
        <f t="shared" si="80"/>
        <v>0.33333333333333331</v>
      </c>
      <c r="I81" s="60"/>
      <c r="J81" s="21" t="s">
        <v>22</v>
      </c>
      <c r="K81" s="22">
        <f t="shared" si="61"/>
        <v>0.375</v>
      </c>
      <c r="L81" s="22">
        <f t="shared" si="61"/>
        <v>0.33333333333333331</v>
      </c>
      <c r="O81" s="21">
        <v>79</v>
      </c>
      <c r="P81" s="7">
        <f t="shared" ca="1" si="74"/>
        <v>0.8571428571428571</v>
      </c>
      <c r="Q81" s="7">
        <f t="shared" ca="1" si="67"/>
        <v>0.14285714285714285</v>
      </c>
      <c r="R81" s="7">
        <f t="shared" ca="1" si="64"/>
        <v>0.5</v>
      </c>
      <c r="S81" s="7">
        <f t="shared" ca="1" si="65"/>
        <v>0.5</v>
      </c>
    </row>
    <row r="82" spans="1:19" x14ac:dyDescent="0.15">
      <c r="A82" s="60">
        <v>41</v>
      </c>
      <c r="B82" s="21" t="s">
        <v>21</v>
      </c>
      <c r="C82" s="21">
        <f>[64]PARS_nsy_stat!B82</f>
        <v>10</v>
      </c>
      <c r="D82" s="21">
        <f>[64]PARS_nsy_stat!C82</f>
        <v>12</v>
      </c>
      <c r="E82" s="22">
        <f t="shared" ref="E82:F82" si="81">C82/(C82+C83)</f>
        <v>0.66666666666666663</v>
      </c>
      <c r="F82" s="22">
        <f t="shared" si="81"/>
        <v>0.75</v>
      </c>
      <c r="I82" s="60">
        <v>41</v>
      </c>
      <c r="J82" s="21" t="s">
        <v>21</v>
      </c>
      <c r="K82" s="22">
        <f t="shared" si="61"/>
        <v>0.66666666666666663</v>
      </c>
      <c r="L82" s="22">
        <f t="shared" si="61"/>
        <v>0.75</v>
      </c>
      <c r="O82" s="21">
        <v>80</v>
      </c>
      <c r="P82" s="7">
        <f t="shared" ca="1" si="74"/>
        <v>0.72222222222222221</v>
      </c>
      <c r="Q82" s="7">
        <f t="shared" ca="1" si="67"/>
        <v>0.27777777777777779</v>
      </c>
      <c r="R82" s="7">
        <f t="shared" ca="1" si="64"/>
        <v>0.75</v>
      </c>
      <c r="S82" s="7">
        <f t="shared" ca="1" si="65"/>
        <v>0.25</v>
      </c>
    </row>
    <row r="83" spans="1:19" x14ac:dyDescent="0.15">
      <c r="A83" s="60"/>
      <c r="B83" s="21" t="s">
        <v>22</v>
      </c>
      <c r="C83" s="21">
        <f>[64]PARS_nsy_stat!B83</f>
        <v>5</v>
      </c>
      <c r="D83" s="21">
        <f>[64]PARS_nsy_stat!C83</f>
        <v>4</v>
      </c>
      <c r="E83" s="22">
        <f t="shared" ref="E83:F83" si="82">C83/(C82+C83)</f>
        <v>0.33333333333333331</v>
      </c>
      <c r="F83" s="22">
        <f t="shared" si="82"/>
        <v>0.25</v>
      </c>
      <c r="I83" s="60"/>
      <c r="J83" s="21" t="s">
        <v>22</v>
      </c>
      <c r="K83" s="22">
        <f t="shared" si="61"/>
        <v>0.33333333333333331</v>
      </c>
      <c r="L83" s="22">
        <f t="shared" si="61"/>
        <v>0.25</v>
      </c>
      <c r="O83" s="21">
        <v>81</v>
      </c>
      <c r="P83" s="7">
        <f t="shared" ca="1" si="74"/>
        <v>0.75</v>
      </c>
      <c r="Q83" s="7">
        <f t="shared" ca="1" si="67"/>
        <v>0.25</v>
      </c>
      <c r="R83" s="7">
        <f t="shared" ca="1" si="64"/>
        <v>0.6</v>
      </c>
      <c r="S83" s="7">
        <f t="shared" ca="1" si="65"/>
        <v>0.4</v>
      </c>
    </row>
    <row r="84" spans="1:19" x14ac:dyDescent="0.15">
      <c r="A84" s="60">
        <v>42</v>
      </c>
      <c r="B84" s="21" t="s">
        <v>21</v>
      </c>
      <c r="C84" s="21">
        <f>[64]PARS_nsy_stat!B84</f>
        <v>3</v>
      </c>
      <c r="D84" s="21">
        <f>[64]PARS_nsy_stat!C84</f>
        <v>7</v>
      </c>
      <c r="E84" s="22">
        <f t="shared" ref="E84:F84" si="83">C84/(C84+C85)</f>
        <v>0.5</v>
      </c>
      <c r="F84" s="22">
        <f t="shared" si="83"/>
        <v>0.58333333333333337</v>
      </c>
      <c r="I84" s="60">
        <v>42</v>
      </c>
      <c r="J84" s="21" t="s">
        <v>21</v>
      </c>
      <c r="K84" s="22">
        <f t="shared" si="61"/>
        <v>0.5</v>
      </c>
      <c r="L84" s="22">
        <f t="shared" si="61"/>
        <v>0.58333333333333337</v>
      </c>
      <c r="O84" s="21">
        <v>82</v>
      </c>
      <c r="P84" s="7">
        <f t="shared" ca="1" si="74"/>
        <v>0.625</v>
      </c>
      <c r="Q84" s="7">
        <f t="shared" ca="1" si="67"/>
        <v>0.375</v>
      </c>
      <c r="R84" s="7">
        <f t="shared" ca="1" si="64"/>
        <v>0.625</v>
      </c>
      <c r="S84" s="7">
        <f t="shared" ca="1" si="65"/>
        <v>0.375</v>
      </c>
    </row>
    <row r="85" spans="1:19" x14ac:dyDescent="0.15">
      <c r="A85" s="60"/>
      <c r="B85" s="21" t="s">
        <v>22</v>
      </c>
      <c r="C85" s="21">
        <f>[64]PARS_nsy_stat!B85</f>
        <v>3</v>
      </c>
      <c r="D85" s="21">
        <f>[64]PARS_nsy_stat!C85</f>
        <v>5</v>
      </c>
      <c r="E85" s="22">
        <f t="shared" ref="E85:F85" si="84">C85/(C84+C85)</f>
        <v>0.5</v>
      </c>
      <c r="F85" s="22">
        <f t="shared" si="84"/>
        <v>0.41666666666666669</v>
      </c>
      <c r="I85" s="60"/>
      <c r="J85" s="21" t="s">
        <v>22</v>
      </c>
      <c r="K85" s="22">
        <f t="shared" si="61"/>
        <v>0.5</v>
      </c>
      <c r="L85" s="22">
        <f t="shared" si="61"/>
        <v>0.41666666666666669</v>
      </c>
      <c r="O85" s="21">
        <v>83</v>
      </c>
      <c r="P85" s="7">
        <f t="shared" ca="1" si="74"/>
        <v>0.8571428571428571</v>
      </c>
      <c r="Q85" s="7">
        <f t="shared" ca="1" si="67"/>
        <v>0.14285714285714285</v>
      </c>
      <c r="R85" s="7">
        <f t="shared" ca="1" si="64"/>
        <v>1</v>
      </c>
      <c r="S85" s="7">
        <f t="shared" ca="1" si="65"/>
        <v>0</v>
      </c>
    </row>
    <row r="86" spans="1:19" x14ac:dyDescent="0.15">
      <c r="A86" s="60">
        <v>43</v>
      </c>
      <c r="B86" s="21" t="s">
        <v>21</v>
      </c>
      <c r="C86" s="21">
        <f>[64]PARS_nsy_stat!B86</f>
        <v>4</v>
      </c>
      <c r="D86" s="21">
        <f>[64]PARS_nsy_stat!C86</f>
        <v>11</v>
      </c>
      <c r="E86" s="22">
        <f t="shared" ref="E86:F86" si="85">C86/(C86+C87)</f>
        <v>0.33333333333333331</v>
      </c>
      <c r="F86" s="22">
        <f t="shared" si="85"/>
        <v>0.91666666666666663</v>
      </c>
      <c r="I86" s="60">
        <v>43</v>
      </c>
      <c r="J86" s="21" t="s">
        <v>21</v>
      </c>
      <c r="K86" s="22">
        <f t="shared" si="61"/>
        <v>0.33333333333333331</v>
      </c>
      <c r="L86" s="22">
        <f t="shared" si="61"/>
        <v>0.91666666666666663</v>
      </c>
      <c r="O86" s="21">
        <v>84</v>
      </c>
      <c r="P86" s="7">
        <f t="shared" ca="1" si="74"/>
        <v>0.8</v>
      </c>
      <c r="Q86" s="7">
        <f t="shared" ca="1" si="67"/>
        <v>0.2</v>
      </c>
      <c r="R86" s="7">
        <f t="shared" ca="1" si="64"/>
        <v>0.66666666666666663</v>
      </c>
      <c r="S86" s="7">
        <f t="shared" ca="1" si="65"/>
        <v>0.33333333333333331</v>
      </c>
    </row>
    <row r="87" spans="1:19" x14ac:dyDescent="0.15">
      <c r="A87" s="60"/>
      <c r="B87" s="21" t="s">
        <v>22</v>
      </c>
      <c r="C87" s="21">
        <f>[64]PARS_nsy_stat!B87</f>
        <v>8</v>
      </c>
      <c r="D87" s="21">
        <f>[64]PARS_nsy_stat!C87</f>
        <v>1</v>
      </c>
      <c r="E87" s="22">
        <f t="shared" ref="E87:F87" si="86">C87/(C86+C87)</f>
        <v>0.66666666666666663</v>
      </c>
      <c r="F87" s="22">
        <f t="shared" si="86"/>
        <v>8.3333333333333329E-2</v>
      </c>
      <c r="I87" s="60"/>
      <c r="J87" s="21" t="s">
        <v>22</v>
      </c>
      <c r="K87" s="22">
        <f t="shared" si="61"/>
        <v>0.66666666666666663</v>
      </c>
      <c r="L87" s="22">
        <f t="shared" si="61"/>
        <v>8.3333333333333329E-2</v>
      </c>
      <c r="O87" s="21">
        <v>85</v>
      </c>
      <c r="P87" s="7">
        <f t="shared" ca="1" si="74"/>
        <v>0.8</v>
      </c>
      <c r="Q87" s="7">
        <f t="shared" ca="1" si="67"/>
        <v>0.2</v>
      </c>
      <c r="R87" s="7">
        <f t="shared" ca="1" si="64"/>
        <v>0</v>
      </c>
      <c r="S87" s="7">
        <f t="shared" ca="1" si="65"/>
        <v>1</v>
      </c>
    </row>
    <row r="88" spans="1:19" x14ac:dyDescent="0.15">
      <c r="A88" s="60">
        <v>44</v>
      </c>
      <c r="B88" s="21" t="s">
        <v>21</v>
      </c>
      <c r="C88" s="21">
        <f>[64]PARS_nsy_stat!B88</f>
        <v>5</v>
      </c>
      <c r="D88" s="21">
        <f>[64]PARS_nsy_stat!C88</f>
        <v>8</v>
      </c>
      <c r="E88" s="22">
        <f t="shared" ref="E88:F88" si="87">C88/(C88+C89)</f>
        <v>0.38461538461538464</v>
      </c>
      <c r="F88" s="22">
        <f t="shared" si="87"/>
        <v>0.61538461538461542</v>
      </c>
      <c r="I88" s="60">
        <v>44</v>
      </c>
      <c r="J88" s="21" t="s">
        <v>21</v>
      </c>
      <c r="K88" s="22">
        <f t="shared" si="61"/>
        <v>0.38461538461538464</v>
      </c>
      <c r="L88" s="22">
        <f t="shared" si="61"/>
        <v>0.61538461538461542</v>
      </c>
      <c r="O88" s="21">
        <v>86</v>
      </c>
      <c r="P88" s="7">
        <f t="shared" ca="1" si="74"/>
        <v>0.33333333333333331</v>
      </c>
      <c r="Q88" s="7">
        <f t="shared" ca="1" si="67"/>
        <v>0.66666666666666663</v>
      </c>
      <c r="R88" s="7">
        <f t="shared" ca="1" si="64"/>
        <v>0.6</v>
      </c>
      <c r="S88" s="7">
        <f t="shared" ca="1" si="65"/>
        <v>0.4</v>
      </c>
    </row>
    <row r="89" spans="1:19" x14ac:dyDescent="0.15">
      <c r="A89" s="60"/>
      <c r="B89" s="21" t="s">
        <v>22</v>
      </c>
      <c r="C89" s="21">
        <f>[64]PARS_nsy_stat!B89</f>
        <v>8</v>
      </c>
      <c r="D89" s="21">
        <f>[64]PARS_nsy_stat!C89</f>
        <v>5</v>
      </c>
      <c r="E89" s="22">
        <f t="shared" ref="E89:F89" si="88">C89/(C88+C89)</f>
        <v>0.61538461538461542</v>
      </c>
      <c r="F89" s="22">
        <f t="shared" si="88"/>
        <v>0.38461538461538464</v>
      </c>
      <c r="I89" s="60"/>
      <c r="J89" s="21" t="s">
        <v>22</v>
      </c>
      <c r="K89" s="22">
        <f t="shared" si="61"/>
        <v>0.61538461538461542</v>
      </c>
      <c r="L89" s="22">
        <f t="shared" si="61"/>
        <v>0.38461538461538464</v>
      </c>
      <c r="O89" s="21">
        <v>87</v>
      </c>
      <c r="P89" s="7">
        <f t="shared" ca="1" si="74"/>
        <v>0.5714285714285714</v>
      </c>
      <c r="Q89" s="7">
        <f t="shared" ca="1" si="67"/>
        <v>0.42857142857142855</v>
      </c>
      <c r="R89" s="7">
        <f t="shared" ca="1" si="64"/>
        <v>0.33333333333333331</v>
      </c>
      <c r="S89" s="7">
        <f t="shared" ca="1" si="65"/>
        <v>0.66666666666666663</v>
      </c>
    </row>
    <row r="90" spans="1:19" x14ac:dyDescent="0.15">
      <c r="A90" s="60">
        <v>45</v>
      </c>
      <c r="B90" s="21" t="s">
        <v>21</v>
      </c>
      <c r="C90" s="21">
        <f>[64]PARS_nsy_stat!B90</f>
        <v>8</v>
      </c>
      <c r="D90" s="21">
        <f>[64]PARS_nsy_stat!C90</f>
        <v>7</v>
      </c>
      <c r="E90" s="22">
        <f t="shared" ref="E90:F90" si="89">C90/(C90+C91)</f>
        <v>0.61538461538461542</v>
      </c>
      <c r="F90" s="22">
        <f t="shared" si="89"/>
        <v>0.53846153846153844</v>
      </c>
      <c r="I90" s="60">
        <v>45</v>
      </c>
      <c r="J90" s="21" t="s">
        <v>21</v>
      </c>
      <c r="K90" s="22">
        <f t="shared" si="61"/>
        <v>0.61538461538461542</v>
      </c>
      <c r="L90" s="22">
        <f t="shared" si="61"/>
        <v>0.53846153846153844</v>
      </c>
      <c r="O90" s="21">
        <v>88</v>
      </c>
      <c r="P90" s="7">
        <f t="shared" ca="1" si="74"/>
        <v>1</v>
      </c>
      <c r="Q90" s="7">
        <f t="shared" ca="1" si="67"/>
        <v>0</v>
      </c>
      <c r="R90" s="7">
        <f t="shared" ca="1" si="64"/>
        <v>0.5</v>
      </c>
      <c r="S90" s="7">
        <f t="shared" ca="1" si="65"/>
        <v>0.5</v>
      </c>
    </row>
    <row r="91" spans="1:19" x14ac:dyDescent="0.15">
      <c r="A91" s="60"/>
      <c r="B91" s="21" t="s">
        <v>22</v>
      </c>
      <c r="C91" s="21">
        <f>[64]PARS_nsy_stat!B91</f>
        <v>5</v>
      </c>
      <c r="D91" s="21">
        <f>[64]PARS_nsy_stat!C91</f>
        <v>6</v>
      </c>
      <c r="E91" s="22">
        <f t="shared" ref="E91:F91" si="90">C91/(C90+C91)</f>
        <v>0.38461538461538464</v>
      </c>
      <c r="F91" s="22">
        <f t="shared" si="90"/>
        <v>0.46153846153846156</v>
      </c>
      <c r="I91" s="60"/>
      <c r="J91" s="21" t="s">
        <v>22</v>
      </c>
      <c r="K91" s="22">
        <f t="shared" si="61"/>
        <v>0.38461538461538464</v>
      </c>
      <c r="L91" s="22">
        <f t="shared" si="61"/>
        <v>0.46153846153846156</v>
      </c>
      <c r="O91" s="21">
        <v>89</v>
      </c>
      <c r="P91" s="7">
        <f t="shared" ca="1" si="74"/>
        <v>0.75</v>
      </c>
      <c r="Q91" s="7">
        <f t="shared" ca="1" si="67"/>
        <v>0.25</v>
      </c>
      <c r="R91" s="7">
        <f t="shared" ca="1" si="64"/>
        <v>0.75</v>
      </c>
      <c r="S91" s="7">
        <f t="shared" ca="1" si="65"/>
        <v>0.25</v>
      </c>
    </row>
    <row r="92" spans="1:19" x14ac:dyDescent="0.15">
      <c r="A92" s="60">
        <v>46</v>
      </c>
      <c r="B92" s="21" t="s">
        <v>21</v>
      </c>
      <c r="C92" s="21">
        <f>[64]PARS_nsy_stat!B92</f>
        <v>6</v>
      </c>
      <c r="D92" s="21">
        <f>[64]PARS_nsy_stat!C92</f>
        <v>5</v>
      </c>
      <c r="E92" s="22">
        <f t="shared" ref="E92:F92" si="91">C92/(C92+C93)</f>
        <v>0.6</v>
      </c>
      <c r="F92" s="22">
        <f t="shared" si="91"/>
        <v>0.33333333333333331</v>
      </c>
      <c r="I92" s="60">
        <v>46</v>
      </c>
      <c r="J92" s="21" t="s">
        <v>21</v>
      </c>
      <c r="K92" s="22">
        <f t="shared" si="61"/>
        <v>0.6</v>
      </c>
      <c r="L92" s="22">
        <f t="shared" si="61"/>
        <v>0.33333333333333331</v>
      </c>
      <c r="O92" s="21">
        <v>90</v>
      </c>
      <c r="P92" s="7">
        <f t="shared" ca="1" si="74"/>
        <v>0.5</v>
      </c>
      <c r="Q92" s="7">
        <f t="shared" ca="1" si="67"/>
        <v>0.5</v>
      </c>
      <c r="R92" s="7">
        <f t="shared" ca="1" si="64"/>
        <v>0.75</v>
      </c>
      <c r="S92" s="7">
        <f t="shared" ca="1" si="65"/>
        <v>0.25</v>
      </c>
    </row>
    <row r="93" spans="1:19" x14ac:dyDescent="0.15">
      <c r="A93" s="60"/>
      <c r="B93" s="21" t="s">
        <v>22</v>
      </c>
      <c r="C93" s="21">
        <f>[64]PARS_nsy_stat!B93</f>
        <v>4</v>
      </c>
      <c r="D93" s="21">
        <f>[64]PARS_nsy_stat!C93</f>
        <v>10</v>
      </c>
      <c r="E93" s="22">
        <f t="shared" ref="E93:F93" si="92">C93/(C92+C93)</f>
        <v>0.4</v>
      </c>
      <c r="F93" s="22">
        <f t="shared" si="92"/>
        <v>0.66666666666666663</v>
      </c>
      <c r="I93" s="60"/>
      <c r="J93" s="21" t="s">
        <v>22</v>
      </c>
      <c r="K93" s="22">
        <f t="shared" si="61"/>
        <v>0.4</v>
      </c>
      <c r="L93" s="22">
        <f t="shared" si="61"/>
        <v>0.66666666666666663</v>
      </c>
      <c r="O93" s="21">
        <v>91</v>
      </c>
      <c r="P93" s="7">
        <f t="shared" ca="1" si="74"/>
        <v>0.66666666666666663</v>
      </c>
      <c r="Q93" s="7">
        <f t="shared" ca="1" si="67"/>
        <v>0.33333333333333331</v>
      </c>
      <c r="R93" s="7">
        <f t="shared" ca="1" si="64"/>
        <v>0.75</v>
      </c>
      <c r="S93" s="7">
        <f t="shared" ca="1" si="65"/>
        <v>0.25</v>
      </c>
    </row>
    <row r="94" spans="1:19" x14ac:dyDescent="0.15">
      <c r="A94" s="60">
        <v>47</v>
      </c>
      <c r="B94" s="21" t="s">
        <v>21</v>
      </c>
      <c r="C94" s="21">
        <f>[64]PARS_nsy_stat!B94</f>
        <v>8</v>
      </c>
      <c r="D94" s="21">
        <f>[64]PARS_nsy_stat!C94</f>
        <v>9</v>
      </c>
      <c r="E94" s="22">
        <f t="shared" ref="E94:F94" si="93">C94/(C94+C95)</f>
        <v>0.5</v>
      </c>
      <c r="F94" s="22">
        <f t="shared" si="93"/>
        <v>0.6</v>
      </c>
      <c r="I94" s="60">
        <v>47</v>
      </c>
      <c r="J94" s="21" t="s">
        <v>21</v>
      </c>
      <c r="K94" s="22">
        <f t="shared" si="61"/>
        <v>0.5</v>
      </c>
      <c r="L94" s="22">
        <f t="shared" si="61"/>
        <v>0.6</v>
      </c>
      <c r="O94" s="21">
        <v>92</v>
      </c>
      <c r="P94" s="7">
        <f t="shared" ca="1" si="74"/>
        <v>1</v>
      </c>
      <c r="Q94" s="7">
        <f t="shared" ca="1" si="67"/>
        <v>0</v>
      </c>
      <c r="R94" s="7">
        <f t="shared" ca="1" si="64"/>
        <v>0.8</v>
      </c>
      <c r="S94" s="7">
        <f t="shared" ca="1" si="65"/>
        <v>0.2</v>
      </c>
    </row>
    <row r="95" spans="1:19" x14ac:dyDescent="0.15">
      <c r="A95" s="60"/>
      <c r="B95" s="21" t="s">
        <v>22</v>
      </c>
      <c r="C95" s="21">
        <f>[64]PARS_nsy_stat!B95</f>
        <v>8</v>
      </c>
      <c r="D95" s="21">
        <f>[64]PARS_nsy_stat!C95</f>
        <v>6</v>
      </c>
      <c r="E95" s="22">
        <f t="shared" ref="E95:F95" si="94">C95/(C94+C95)</f>
        <v>0.5</v>
      </c>
      <c r="F95" s="22">
        <f t="shared" si="94"/>
        <v>0.4</v>
      </c>
      <c r="I95" s="60"/>
      <c r="J95" s="21" t="s">
        <v>22</v>
      </c>
      <c r="K95" s="22">
        <f t="shared" si="61"/>
        <v>0.5</v>
      </c>
      <c r="L95" s="22">
        <f t="shared" si="61"/>
        <v>0.4</v>
      </c>
      <c r="O95" s="21">
        <v>93</v>
      </c>
      <c r="P95" s="7">
        <f t="shared" ca="1" si="74"/>
        <v>0.7</v>
      </c>
      <c r="Q95" s="7">
        <f t="shared" ca="1" si="67"/>
        <v>0.3</v>
      </c>
      <c r="R95" s="7">
        <f t="shared" ca="1" si="64"/>
        <v>0.9</v>
      </c>
      <c r="S95" s="7">
        <f t="shared" ca="1" si="65"/>
        <v>0.1</v>
      </c>
    </row>
    <row r="96" spans="1:19" x14ac:dyDescent="0.15">
      <c r="A96" s="60">
        <v>48</v>
      </c>
      <c r="B96" s="21" t="s">
        <v>21</v>
      </c>
      <c r="C96" s="21">
        <f>[64]PARS_nsy_stat!B96</f>
        <v>6</v>
      </c>
      <c r="D96" s="21">
        <f>[64]PARS_nsy_stat!C96</f>
        <v>10</v>
      </c>
      <c r="E96" s="22">
        <f t="shared" ref="E96:F96" si="95">C96/(C96+C97)</f>
        <v>0.54545454545454541</v>
      </c>
      <c r="F96" s="22">
        <f t="shared" si="95"/>
        <v>0.58823529411764708</v>
      </c>
      <c r="I96" s="60">
        <v>48</v>
      </c>
      <c r="J96" s="21" t="s">
        <v>21</v>
      </c>
      <c r="K96" s="22">
        <f t="shared" si="61"/>
        <v>0.54545454545454541</v>
      </c>
      <c r="L96" s="22">
        <f t="shared" si="61"/>
        <v>0.58823529411764708</v>
      </c>
      <c r="O96" s="21">
        <v>94</v>
      </c>
      <c r="P96" s="7">
        <f t="shared" ca="1" si="74"/>
        <v>0.66666666666666663</v>
      </c>
      <c r="Q96" s="7">
        <f t="shared" ca="1" si="67"/>
        <v>0.33333333333333331</v>
      </c>
      <c r="R96" s="7">
        <f t="shared" ca="1" si="64"/>
        <v>0.42857142857142855</v>
      </c>
      <c r="S96" s="7">
        <f t="shared" ca="1" si="65"/>
        <v>0.5714285714285714</v>
      </c>
    </row>
    <row r="97" spans="1:19" x14ac:dyDescent="0.15">
      <c r="A97" s="60"/>
      <c r="B97" s="21" t="s">
        <v>22</v>
      </c>
      <c r="C97" s="21">
        <f>[64]PARS_nsy_stat!B97</f>
        <v>5</v>
      </c>
      <c r="D97" s="21">
        <f>[64]PARS_nsy_stat!C97</f>
        <v>7</v>
      </c>
      <c r="E97" s="22">
        <f t="shared" ref="E97:F97" si="96">C97/(C96+C97)</f>
        <v>0.45454545454545453</v>
      </c>
      <c r="F97" s="22">
        <f t="shared" si="96"/>
        <v>0.41176470588235292</v>
      </c>
      <c r="I97" s="60"/>
      <c r="J97" s="21" t="s">
        <v>22</v>
      </c>
      <c r="K97" s="22">
        <f t="shared" si="61"/>
        <v>0.45454545454545453</v>
      </c>
      <c r="L97" s="22">
        <f t="shared" si="61"/>
        <v>0.41176470588235292</v>
      </c>
      <c r="O97" s="21">
        <v>95</v>
      </c>
      <c r="P97" s="7">
        <f t="shared" ca="1" si="74"/>
        <v>0.42857142857142855</v>
      </c>
      <c r="Q97" s="7">
        <f t="shared" ca="1" si="67"/>
        <v>0.5714285714285714</v>
      </c>
      <c r="R97" s="7">
        <f t="shared" ca="1" si="64"/>
        <v>0.7</v>
      </c>
      <c r="S97" s="7">
        <f t="shared" ca="1" si="65"/>
        <v>0.3</v>
      </c>
    </row>
    <row r="98" spans="1:19" x14ac:dyDescent="0.15">
      <c r="A98" s="60">
        <v>49</v>
      </c>
      <c r="B98" s="21" t="s">
        <v>21</v>
      </c>
      <c r="C98" s="21">
        <f>[64]PARS_nsy_stat!B98</f>
        <v>4</v>
      </c>
      <c r="D98" s="21">
        <f>[64]PARS_nsy_stat!C98</f>
        <v>8</v>
      </c>
      <c r="E98" s="22">
        <f t="shared" ref="E98:F98" si="97">C98/(C98+C99)</f>
        <v>0.23529411764705882</v>
      </c>
      <c r="F98" s="22">
        <f t="shared" si="97"/>
        <v>0.53333333333333333</v>
      </c>
      <c r="I98" s="60">
        <v>49</v>
      </c>
      <c r="J98" s="21" t="s">
        <v>21</v>
      </c>
      <c r="K98" s="22">
        <f t="shared" si="61"/>
        <v>0.23529411764705882</v>
      </c>
      <c r="L98" s="22">
        <f t="shared" si="61"/>
        <v>0.53333333333333333</v>
      </c>
      <c r="O98" s="21">
        <v>96</v>
      </c>
      <c r="P98" s="7">
        <f t="shared" ca="1" si="74"/>
        <v>0.5714285714285714</v>
      </c>
      <c r="Q98" s="7">
        <f t="shared" ca="1" si="67"/>
        <v>0.42857142857142855</v>
      </c>
      <c r="R98" s="7">
        <f t="shared" ca="1" si="64"/>
        <v>0.6</v>
      </c>
      <c r="S98" s="7">
        <f t="shared" ca="1" si="65"/>
        <v>0.4</v>
      </c>
    </row>
    <row r="99" spans="1:19" x14ac:dyDescent="0.15">
      <c r="A99" s="60"/>
      <c r="B99" s="21" t="s">
        <v>22</v>
      </c>
      <c r="C99" s="21">
        <f>[64]PARS_nsy_stat!B99</f>
        <v>13</v>
      </c>
      <c r="D99" s="21">
        <f>[64]PARS_nsy_stat!C99</f>
        <v>7</v>
      </c>
      <c r="E99" s="22">
        <f t="shared" ref="E99:F99" si="98">C99/(C98+C99)</f>
        <v>0.76470588235294112</v>
      </c>
      <c r="F99" s="22">
        <f t="shared" si="98"/>
        <v>0.46666666666666667</v>
      </c>
      <c r="I99" s="60"/>
      <c r="J99" s="21" t="s">
        <v>22</v>
      </c>
      <c r="K99" s="22">
        <f t="shared" si="61"/>
        <v>0.76470588235294112</v>
      </c>
      <c r="L99" s="22">
        <f t="shared" si="61"/>
        <v>0.46666666666666667</v>
      </c>
      <c r="O99" s="21">
        <v>97</v>
      </c>
      <c r="P99" s="7">
        <f t="shared" ca="1" si="74"/>
        <v>0.625</v>
      </c>
      <c r="Q99" s="7">
        <f t="shared" ca="1" si="67"/>
        <v>0.375</v>
      </c>
      <c r="R99" s="7">
        <f t="shared" ca="1" si="64"/>
        <v>0.54545454545454541</v>
      </c>
      <c r="S99" s="7">
        <f t="shared" ca="1" si="65"/>
        <v>0.45454545454545453</v>
      </c>
    </row>
    <row r="100" spans="1:19" x14ac:dyDescent="0.15">
      <c r="A100" s="60">
        <v>50</v>
      </c>
      <c r="B100" s="21" t="s">
        <v>21</v>
      </c>
      <c r="C100" s="21">
        <f>[64]PARS_nsy_stat!B100</f>
        <v>3</v>
      </c>
      <c r="D100" s="21">
        <f>[64]PARS_nsy_stat!C100</f>
        <v>8</v>
      </c>
      <c r="E100" s="22">
        <f t="shared" ref="E100:F100" si="99">C100/(C100+C101)</f>
        <v>0.6</v>
      </c>
      <c r="F100" s="22">
        <f t="shared" si="99"/>
        <v>0.8</v>
      </c>
      <c r="I100" s="60">
        <v>50</v>
      </c>
      <c r="J100" s="21" t="s">
        <v>21</v>
      </c>
      <c r="K100" s="22">
        <f t="shared" si="61"/>
        <v>0.6</v>
      </c>
      <c r="L100" s="22">
        <f t="shared" si="61"/>
        <v>0.8</v>
      </c>
      <c r="O100" s="21">
        <v>98</v>
      </c>
      <c r="P100" s="7">
        <f t="shared" ca="1" si="74"/>
        <v>0.5</v>
      </c>
      <c r="Q100" s="7">
        <f t="shared" ca="1" si="67"/>
        <v>0.5</v>
      </c>
      <c r="R100" s="7">
        <f t="shared" ca="1" si="64"/>
        <v>0.6</v>
      </c>
      <c r="S100" s="7">
        <f t="shared" ca="1" si="65"/>
        <v>0.4</v>
      </c>
    </row>
    <row r="101" spans="1:19" x14ac:dyDescent="0.15">
      <c r="A101" s="60"/>
      <c r="B101" s="21" t="s">
        <v>22</v>
      </c>
      <c r="C101" s="21">
        <f>[64]PARS_nsy_stat!B101</f>
        <v>2</v>
      </c>
      <c r="D101" s="21">
        <f>[64]PARS_nsy_stat!C101</f>
        <v>2</v>
      </c>
      <c r="E101" s="22">
        <f t="shared" ref="E101:F101" si="100">C101/(C100+C101)</f>
        <v>0.4</v>
      </c>
      <c r="F101" s="22">
        <f t="shared" si="100"/>
        <v>0.2</v>
      </c>
      <c r="I101" s="60"/>
      <c r="J101" s="21" t="s">
        <v>22</v>
      </c>
      <c r="K101" s="22">
        <f t="shared" si="61"/>
        <v>0.4</v>
      </c>
      <c r="L101" s="22">
        <f t="shared" si="61"/>
        <v>0.2</v>
      </c>
      <c r="O101" s="21">
        <v>99</v>
      </c>
      <c r="P101" s="7">
        <f t="shared" ca="1" si="74"/>
        <v>0.9</v>
      </c>
      <c r="Q101" s="7">
        <f t="shared" ca="1" si="67"/>
        <v>0.1</v>
      </c>
      <c r="R101" s="7">
        <f t="shared" ca="1" si="64"/>
        <v>0.5</v>
      </c>
      <c r="S101" s="7">
        <f t="shared" ca="1" si="65"/>
        <v>0.5</v>
      </c>
    </row>
    <row r="102" spans="1:19" x14ac:dyDescent="0.15">
      <c r="A102" s="60">
        <v>51</v>
      </c>
      <c r="B102" s="21" t="s">
        <v>21</v>
      </c>
      <c r="C102" s="21">
        <f>[64]PARS_nsy_stat!B102</f>
        <v>7</v>
      </c>
      <c r="D102" s="21">
        <f>[64]PARS_nsy_stat!C102</f>
        <v>5</v>
      </c>
      <c r="E102" s="22">
        <f t="shared" ref="E102:F102" si="101">C102/(C102+C103)</f>
        <v>0.58333333333333337</v>
      </c>
      <c r="F102" s="22">
        <f t="shared" si="101"/>
        <v>1</v>
      </c>
      <c r="I102" s="60">
        <v>51</v>
      </c>
      <c r="J102" s="21" t="s">
        <v>21</v>
      </c>
      <c r="K102" s="22">
        <f t="shared" si="61"/>
        <v>0.58333333333333337</v>
      </c>
      <c r="L102" s="22">
        <f t="shared" si="61"/>
        <v>1</v>
      </c>
      <c r="O102" s="21">
        <v>100</v>
      </c>
      <c r="P102" s="7">
        <f t="shared" ca="1" si="74"/>
        <v>0.66666666666666663</v>
      </c>
      <c r="Q102" s="7">
        <f t="shared" ca="1" si="67"/>
        <v>0.33333333333333331</v>
      </c>
      <c r="R102" s="7">
        <f t="shared" ca="1" si="64"/>
        <v>0.5</v>
      </c>
      <c r="S102" s="7">
        <f t="shared" ca="1" si="65"/>
        <v>0.5</v>
      </c>
    </row>
    <row r="103" spans="1:19" x14ac:dyDescent="0.15">
      <c r="A103" s="60"/>
      <c r="B103" s="21" t="s">
        <v>22</v>
      </c>
      <c r="C103" s="21">
        <f>[64]PARS_nsy_stat!B103</f>
        <v>5</v>
      </c>
      <c r="D103" s="21">
        <f>[64]PARS_nsy_stat!C103</f>
        <v>0</v>
      </c>
      <c r="E103" s="22">
        <f t="shared" ref="E103:F103" si="102">C103/(C102+C103)</f>
        <v>0.41666666666666669</v>
      </c>
      <c r="F103" s="22">
        <f t="shared" si="102"/>
        <v>0</v>
      </c>
      <c r="I103" s="60"/>
      <c r="J103" s="21" t="s">
        <v>22</v>
      </c>
      <c r="K103" s="22">
        <f t="shared" si="61"/>
        <v>0.41666666666666669</v>
      </c>
      <c r="L103" s="22">
        <f t="shared" si="61"/>
        <v>0</v>
      </c>
      <c r="O103" s="21">
        <v>101</v>
      </c>
      <c r="P103" s="7">
        <f t="shared" ca="1" si="74"/>
        <v>0.72727272727272729</v>
      </c>
      <c r="Q103" s="7">
        <f t="shared" ca="1" si="67"/>
        <v>0.27272727272727271</v>
      </c>
      <c r="R103" s="7">
        <f t="shared" ca="1" si="64"/>
        <v>0.72727272727272729</v>
      </c>
      <c r="S103" s="7">
        <f t="shared" ca="1" si="65"/>
        <v>0.27272727272727271</v>
      </c>
    </row>
    <row r="104" spans="1:19" x14ac:dyDescent="0.15">
      <c r="A104" s="60">
        <v>52</v>
      </c>
      <c r="B104" s="21" t="s">
        <v>21</v>
      </c>
      <c r="C104" s="21">
        <f>[64]PARS_nsy_stat!B104</f>
        <v>9</v>
      </c>
      <c r="D104" s="21">
        <f>[64]PARS_nsy_stat!C104</f>
        <v>6</v>
      </c>
      <c r="E104" s="22">
        <f t="shared" ref="E104:F104" si="103">C104/(C104+C105)</f>
        <v>0.6428571428571429</v>
      </c>
      <c r="F104" s="22">
        <f t="shared" si="103"/>
        <v>0.5</v>
      </c>
      <c r="I104" s="60">
        <v>52</v>
      </c>
      <c r="J104" s="21" t="s">
        <v>21</v>
      </c>
      <c r="K104" s="22">
        <f t="shared" si="61"/>
        <v>0.6428571428571429</v>
      </c>
      <c r="L104" s="22">
        <f t="shared" si="61"/>
        <v>0.5</v>
      </c>
      <c r="O104" s="21">
        <v>102</v>
      </c>
      <c r="P104" s="7">
        <f t="shared" ca="1" si="74"/>
        <v>0.83333333333333337</v>
      </c>
      <c r="Q104" s="7">
        <f t="shared" ca="1" si="67"/>
        <v>0.16666666666666666</v>
      </c>
      <c r="R104" s="7">
        <f t="shared" ca="1" si="64"/>
        <v>0.6</v>
      </c>
      <c r="S104" s="7">
        <f t="shared" ca="1" si="65"/>
        <v>0.4</v>
      </c>
    </row>
    <row r="105" spans="1:19" x14ac:dyDescent="0.15">
      <c r="A105" s="60"/>
      <c r="B105" s="21" t="s">
        <v>22</v>
      </c>
      <c r="C105" s="21">
        <f>[64]PARS_nsy_stat!B105</f>
        <v>5</v>
      </c>
      <c r="D105" s="21">
        <f>[64]PARS_nsy_stat!C105</f>
        <v>6</v>
      </c>
      <c r="E105" s="22">
        <f t="shared" ref="E105:F105" si="104">C105/(C104+C105)</f>
        <v>0.35714285714285715</v>
      </c>
      <c r="F105" s="22">
        <f t="shared" si="104"/>
        <v>0.5</v>
      </c>
      <c r="I105" s="60"/>
      <c r="J105" s="21" t="s">
        <v>22</v>
      </c>
      <c r="K105" s="22">
        <f t="shared" si="61"/>
        <v>0.35714285714285715</v>
      </c>
      <c r="L105" s="22">
        <f t="shared" si="61"/>
        <v>0.5</v>
      </c>
      <c r="O105" s="21">
        <v>103</v>
      </c>
      <c r="P105" s="7">
        <f t="shared" ca="1" si="74"/>
        <v>0.73333333333333328</v>
      </c>
      <c r="Q105" s="7">
        <f t="shared" ca="1" si="67"/>
        <v>0.26666666666666666</v>
      </c>
      <c r="R105" s="7">
        <f t="shared" ca="1" si="64"/>
        <v>0.6</v>
      </c>
      <c r="S105" s="7">
        <f t="shared" ca="1" si="65"/>
        <v>0.4</v>
      </c>
    </row>
    <row r="106" spans="1:19" x14ac:dyDescent="0.15">
      <c r="A106" s="60">
        <v>53</v>
      </c>
      <c r="B106" s="21" t="s">
        <v>21</v>
      </c>
      <c r="C106" s="21">
        <f>[64]PARS_nsy_stat!B106</f>
        <v>8</v>
      </c>
      <c r="D106" s="21">
        <f>[64]PARS_nsy_stat!C106</f>
        <v>8</v>
      </c>
      <c r="E106" s="22">
        <f t="shared" ref="E106:F106" si="105">C106/(C106+C107)</f>
        <v>0.5</v>
      </c>
      <c r="F106" s="22">
        <f t="shared" si="105"/>
        <v>0.72727272727272729</v>
      </c>
      <c r="I106" s="60">
        <v>53</v>
      </c>
      <c r="J106" s="21" t="s">
        <v>21</v>
      </c>
      <c r="K106" s="22">
        <f t="shared" si="61"/>
        <v>0.5</v>
      </c>
      <c r="L106" s="22">
        <f t="shared" si="61"/>
        <v>0.72727272727272729</v>
      </c>
      <c r="O106" s="21">
        <v>104</v>
      </c>
      <c r="P106" s="7">
        <f t="shared" ca="1" si="74"/>
        <v>0.41666666666666669</v>
      </c>
      <c r="Q106" s="7">
        <f t="shared" ca="1" si="67"/>
        <v>0.58333333333333337</v>
      </c>
      <c r="R106" s="7">
        <f t="shared" ca="1" si="64"/>
        <v>0.5</v>
      </c>
      <c r="S106" s="7">
        <f t="shared" ca="1" si="65"/>
        <v>0.5</v>
      </c>
    </row>
    <row r="107" spans="1:19" x14ac:dyDescent="0.15">
      <c r="A107" s="60"/>
      <c r="B107" s="21" t="s">
        <v>22</v>
      </c>
      <c r="C107" s="21">
        <f>[64]PARS_nsy_stat!B107</f>
        <v>8</v>
      </c>
      <c r="D107" s="21">
        <f>[64]PARS_nsy_stat!C107</f>
        <v>3</v>
      </c>
      <c r="E107" s="22">
        <f t="shared" ref="E107:F107" si="106">C107/(C106+C107)</f>
        <v>0.5</v>
      </c>
      <c r="F107" s="22">
        <f t="shared" si="106"/>
        <v>0.27272727272727271</v>
      </c>
      <c r="I107" s="60"/>
      <c r="J107" s="21" t="s">
        <v>22</v>
      </c>
      <c r="K107" s="22">
        <f t="shared" si="61"/>
        <v>0.5</v>
      </c>
      <c r="L107" s="22">
        <f t="shared" si="61"/>
        <v>0.27272727272727271</v>
      </c>
      <c r="O107" s="21">
        <v>105</v>
      </c>
      <c r="P107" s="7">
        <f t="shared" ca="1" si="74"/>
        <v>0.7142857142857143</v>
      </c>
      <c r="Q107" s="7">
        <f t="shared" ca="1" si="67"/>
        <v>0.2857142857142857</v>
      </c>
      <c r="R107" s="7">
        <f t="shared" ca="1" si="64"/>
        <v>0.33333333333333331</v>
      </c>
      <c r="S107" s="7">
        <f t="shared" ca="1" si="65"/>
        <v>0.66666666666666663</v>
      </c>
    </row>
    <row r="108" spans="1:19" x14ac:dyDescent="0.15">
      <c r="A108" s="60">
        <v>54</v>
      </c>
      <c r="B108" s="21" t="s">
        <v>21</v>
      </c>
      <c r="C108" s="21">
        <f>[64]PARS_nsy_stat!B108</f>
        <v>8</v>
      </c>
      <c r="D108" s="21">
        <f>[64]PARS_nsy_stat!C108</f>
        <v>13</v>
      </c>
      <c r="E108" s="22">
        <f t="shared" ref="E108:F108" si="107">C108/(C108+C109)</f>
        <v>0.5714285714285714</v>
      </c>
      <c r="F108" s="22">
        <f t="shared" si="107"/>
        <v>0.56521739130434778</v>
      </c>
      <c r="I108" s="60">
        <v>54</v>
      </c>
      <c r="J108" s="21" t="s">
        <v>21</v>
      </c>
      <c r="K108" s="22">
        <f t="shared" si="61"/>
        <v>0.5714285714285714</v>
      </c>
      <c r="L108" s="22">
        <f t="shared" si="61"/>
        <v>0.56521739130434778</v>
      </c>
      <c r="O108" s="21">
        <v>106</v>
      </c>
      <c r="P108" s="7">
        <f t="shared" ca="1" si="74"/>
        <v>0.83333333333333337</v>
      </c>
      <c r="Q108" s="7">
        <f t="shared" ca="1" si="67"/>
        <v>0.16666666666666666</v>
      </c>
      <c r="R108" s="7">
        <f t="shared" ca="1" si="64"/>
        <v>0.25</v>
      </c>
      <c r="S108" s="7">
        <f t="shared" ca="1" si="65"/>
        <v>0.75</v>
      </c>
    </row>
    <row r="109" spans="1:19" x14ac:dyDescent="0.15">
      <c r="A109" s="60"/>
      <c r="B109" s="21" t="s">
        <v>22</v>
      </c>
      <c r="C109" s="21">
        <f>[64]PARS_nsy_stat!B109</f>
        <v>6</v>
      </c>
      <c r="D109" s="21">
        <f>[64]PARS_nsy_stat!C109</f>
        <v>10</v>
      </c>
      <c r="E109" s="22">
        <f t="shared" ref="E109:F109" si="108">C109/(C108+C109)</f>
        <v>0.42857142857142855</v>
      </c>
      <c r="F109" s="22">
        <f t="shared" si="108"/>
        <v>0.43478260869565216</v>
      </c>
      <c r="I109" s="60"/>
      <c r="J109" s="21" t="s">
        <v>22</v>
      </c>
      <c r="K109" s="22">
        <f t="shared" si="61"/>
        <v>0.42857142857142855</v>
      </c>
      <c r="L109" s="22">
        <f t="shared" si="61"/>
        <v>0.43478260869565216</v>
      </c>
      <c r="O109" s="21">
        <v>107</v>
      </c>
      <c r="P109" s="7">
        <f t="shared" ca="1" si="74"/>
        <v>0.42857142857142855</v>
      </c>
      <c r="Q109" s="7">
        <f t="shared" ca="1" si="67"/>
        <v>0.5714285714285714</v>
      </c>
      <c r="R109" s="7">
        <f t="shared" ca="1" si="64"/>
        <v>0.4</v>
      </c>
      <c r="S109" s="7">
        <f t="shared" ca="1" si="65"/>
        <v>0.6</v>
      </c>
    </row>
    <row r="110" spans="1:19" x14ac:dyDescent="0.15">
      <c r="A110" s="60">
        <v>55</v>
      </c>
      <c r="B110" s="21" t="s">
        <v>21</v>
      </c>
      <c r="C110" s="21">
        <f>[64]PARS_nsy_stat!B110</f>
        <v>8</v>
      </c>
      <c r="D110" s="21">
        <f>[64]PARS_nsy_stat!C110</f>
        <v>7</v>
      </c>
      <c r="E110" s="22">
        <f t="shared" ref="E110:F110" si="109">C110/(C110+C111)</f>
        <v>0.88888888888888884</v>
      </c>
      <c r="F110" s="22">
        <f t="shared" si="109"/>
        <v>0.53846153846153844</v>
      </c>
      <c r="I110" s="60">
        <v>55</v>
      </c>
      <c r="J110" s="21" t="s">
        <v>21</v>
      </c>
      <c r="K110" s="22">
        <f t="shared" si="61"/>
        <v>0.88888888888888884</v>
      </c>
      <c r="L110" s="22">
        <f t="shared" si="61"/>
        <v>0.53846153846153844</v>
      </c>
      <c r="O110" s="21">
        <v>108</v>
      </c>
      <c r="P110" s="7">
        <f t="shared" ca="1" si="74"/>
        <v>0.5</v>
      </c>
      <c r="Q110" s="7">
        <f t="shared" ca="1" si="67"/>
        <v>0.5</v>
      </c>
      <c r="R110" s="7">
        <f t="shared" ca="1" si="64"/>
        <v>0.6</v>
      </c>
      <c r="S110" s="7">
        <f t="shared" ca="1" si="65"/>
        <v>0.4</v>
      </c>
    </row>
    <row r="111" spans="1:19" x14ac:dyDescent="0.15">
      <c r="A111" s="60"/>
      <c r="B111" s="21" t="s">
        <v>22</v>
      </c>
      <c r="C111" s="21">
        <f>[64]PARS_nsy_stat!B111</f>
        <v>1</v>
      </c>
      <c r="D111" s="21">
        <f>[64]PARS_nsy_stat!C111</f>
        <v>6</v>
      </c>
      <c r="E111" s="22">
        <f t="shared" ref="E111:F111" si="110">C111/(C110+C111)</f>
        <v>0.1111111111111111</v>
      </c>
      <c r="F111" s="22">
        <f t="shared" si="110"/>
        <v>0.46153846153846156</v>
      </c>
      <c r="I111" s="60"/>
      <c r="J111" s="21" t="s">
        <v>22</v>
      </c>
      <c r="K111" s="22">
        <f t="shared" si="61"/>
        <v>0.1111111111111111</v>
      </c>
      <c r="L111" s="22">
        <f t="shared" si="61"/>
        <v>0.46153846153846156</v>
      </c>
      <c r="O111" s="21">
        <v>109</v>
      </c>
      <c r="P111" s="7">
        <f t="shared" ca="1" si="74"/>
        <v>0.75</v>
      </c>
      <c r="Q111" s="7">
        <f t="shared" ca="1" si="67"/>
        <v>0.25</v>
      </c>
      <c r="R111" s="7">
        <f t="shared" ca="1" si="64"/>
        <v>0.63636363636363635</v>
      </c>
      <c r="S111" s="7">
        <f t="shared" ca="1" si="65"/>
        <v>0.36363636363636365</v>
      </c>
    </row>
    <row r="112" spans="1:19" x14ac:dyDescent="0.15">
      <c r="A112" s="60">
        <v>56</v>
      </c>
      <c r="B112" s="21" t="s">
        <v>21</v>
      </c>
      <c r="C112" s="21">
        <f>[64]PARS_nsy_stat!B112</f>
        <v>8</v>
      </c>
      <c r="D112" s="21">
        <f>[64]PARS_nsy_stat!C112</f>
        <v>8</v>
      </c>
      <c r="E112" s="22">
        <f t="shared" ref="E112:F112" si="111">C112/(C112+C113)</f>
        <v>0.53333333333333333</v>
      </c>
      <c r="F112" s="22">
        <f t="shared" si="111"/>
        <v>0.61538461538461542</v>
      </c>
      <c r="I112" s="60">
        <v>56</v>
      </c>
      <c r="J112" s="21" t="s">
        <v>21</v>
      </c>
      <c r="K112" s="22">
        <f t="shared" si="61"/>
        <v>0.53333333333333333</v>
      </c>
      <c r="L112" s="22">
        <f t="shared" si="61"/>
        <v>0.61538461538461542</v>
      </c>
      <c r="O112" s="21">
        <v>110</v>
      </c>
      <c r="P112" s="7">
        <f t="shared" ca="1" si="74"/>
        <v>0.5</v>
      </c>
      <c r="Q112" s="7">
        <f t="shared" ca="1" si="67"/>
        <v>0.5</v>
      </c>
      <c r="R112" s="7">
        <f t="shared" ca="1" si="64"/>
        <v>0.625</v>
      </c>
      <c r="S112" s="7">
        <f t="shared" ca="1" si="65"/>
        <v>0.375</v>
      </c>
    </row>
    <row r="113" spans="1:19" x14ac:dyDescent="0.15">
      <c r="A113" s="60"/>
      <c r="B113" s="21" t="s">
        <v>22</v>
      </c>
      <c r="C113" s="21">
        <f>[64]PARS_nsy_stat!B113</f>
        <v>7</v>
      </c>
      <c r="D113" s="21">
        <f>[64]PARS_nsy_stat!C113</f>
        <v>5</v>
      </c>
      <c r="E113" s="22">
        <f t="shared" ref="E113:F113" si="112">C113/(C112+C113)</f>
        <v>0.46666666666666667</v>
      </c>
      <c r="F113" s="22">
        <f t="shared" si="112"/>
        <v>0.38461538461538464</v>
      </c>
      <c r="I113" s="60"/>
      <c r="J113" s="21" t="s">
        <v>22</v>
      </c>
      <c r="K113" s="22">
        <f t="shared" si="61"/>
        <v>0.46666666666666667</v>
      </c>
      <c r="L113" s="22">
        <f t="shared" si="61"/>
        <v>0.38461538461538464</v>
      </c>
      <c r="O113" s="21">
        <v>111</v>
      </c>
      <c r="P113" s="7">
        <f t="shared" ca="1" si="74"/>
        <v>0.83333333333333337</v>
      </c>
      <c r="Q113" s="7">
        <f t="shared" ca="1" si="67"/>
        <v>0.16666666666666666</v>
      </c>
      <c r="R113" s="7">
        <f t="shared" ca="1" si="64"/>
        <v>0.44444444444444442</v>
      </c>
      <c r="S113" s="7">
        <f t="shared" ca="1" si="65"/>
        <v>0.55555555555555558</v>
      </c>
    </row>
    <row r="114" spans="1:19" x14ac:dyDescent="0.15">
      <c r="A114" s="60">
        <v>57</v>
      </c>
      <c r="B114" s="21" t="s">
        <v>21</v>
      </c>
      <c r="C114" s="21">
        <f>[64]PARS_nsy_stat!B114</f>
        <v>10</v>
      </c>
      <c r="D114" s="21">
        <f>[64]PARS_nsy_stat!C114</f>
        <v>5</v>
      </c>
      <c r="E114" s="22">
        <f t="shared" ref="E114:F114" si="113">C114/(C114+C115)</f>
        <v>0.7142857142857143</v>
      </c>
      <c r="F114" s="22">
        <f t="shared" si="113"/>
        <v>0.7142857142857143</v>
      </c>
      <c r="I114" s="60">
        <v>57</v>
      </c>
      <c r="J114" s="21" t="s">
        <v>21</v>
      </c>
      <c r="K114" s="22">
        <f t="shared" si="61"/>
        <v>0.7142857142857143</v>
      </c>
      <c r="L114" s="22">
        <f t="shared" si="61"/>
        <v>0.7142857142857143</v>
      </c>
      <c r="O114" s="21">
        <v>112</v>
      </c>
      <c r="P114" s="7">
        <f t="shared" ca="1" si="74"/>
        <v>0.66666666666666663</v>
      </c>
      <c r="Q114" s="7">
        <f t="shared" ca="1" si="67"/>
        <v>0.33333333333333331</v>
      </c>
      <c r="R114" s="7">
        <f t="shared" ca="1" si="64"/>
        <v>0.25</v>
      </c>
      <c r="S114" s="7">
        <f t="shared" ca="1" si="65"/>
        <v>0.75</v>
      </c>
    </row>
    <row r="115" spans="1:19" x14ac:dyDescent="0.15">
      <c r="A115" s="60"/>
      <c r="B115" s="21" t="s">
        <v>22</v>
      </c>
      <c r="C115" s="21">
        <f>[64]PARS_nsy_stat!B115</f>
        <v>4</v>
      </c>
      <c r="D115" s="21">
        <f>[64]PARS_nsy_stat!C115</f>
        <v>2</v>
      </c>
      <c r="E115" s="22">
        <f t="shared" ref="E115:F115" si="114">C115/(C114+C115)</f>
        <v>0.2857142857142857</v>
      </c>
      <c r="F115" s="22">
        <f t="shared" si="114"/>
        <v>0.2857142857142857</v>
      </c>
      <c r="I115" s="60"/>
      <c r="J115" s="21" t="s">
        <v>22</v>
      </c>
      <c r="K115" s="22">
        <f t="shared" si="61"/>
        <v>0.2857142857142857</v>
      </c>
      <c r="L115" s="22">
        <f t="shared" si="61"/>
        <v>0.2857142857142857</v>
      </c>
      <c r="O115" s="21">
        <v>113</v>
      </c>
      <c r="P115" s="7">
        <f t="shared" ca="1" si="74"/>
        <v>0.44444444444444442</v>
      </c>
      <c r="Q115" s="7">
        <f t="shared" ca="1" si="67"/>
        <v>0.55555555555555558</v>
      </c>
      <c r="R115" s="7">
        <f t="shared" ca="1" si="64"/>
        <v>0.7</v>
      </c>
      <c r="S115" s="7">
        <f t="shared" ca="1" si="65"/>
        <v>0.3</v>
      </c>
    </row>
    <row r="116" spans="1:19" x14ac:dyDescent="0.15">
      <c r="A116" s="60">
        <v>58</v>
      </c>
      <c r="B116" s="21" t="s">
        <v>21</v>
      </c>
      <c r="C116" s="21">
        <f>[64]PARS_nsy_stat!B116</f>
        <v>9</v>
      </c>
      <c r="D116" s="21">
        <f>[64]PARS_nsy_stat!C116</f>
        <v>11</v>
      </c>
      <c r="E116" s="22">
        <f t="shared" ref="E116:F116" si="115">C116/(C116+C117)</f>
        <v>0.45</v>
      </c>
      <c r="F116" s="22">
        <f t="shared" si="115"/>
        <v>0.73333333333333328</v>
      </c>
      <c r="I116" s="60">
        <v>58</v>
      </c>
      <c r="J116" s="21" t="s">
        <v>21</v>
      </c>
      <c r="K116" s="22">
        <f t="shared" si="61"/>
        <v>0.45</v>
      </c>
      <c r="L116" s="22">
        <f t="shared" si="61"/>
        <v>0.73333333333333328</v>
      </c>
      <c r="O116" s="21">
        <v>114</v>
      </c>
      <c r="P116" s="7">
        <f t="shared" ca="1" si="74"/>
        <v>0.44444444444444442</v>
      </c>
      <c r="Q116" s="7">
        <f t="shared" ca="1" si="67"/>
        <v>0.55555555555555558</v>
      </c>
      <c r="R116" s="7">
        <f t="shared" ca="1" si="64"/>
        <v>0.45454545454545453</v>
      </c>
      <c r="S116" s="7">
        <f t="shared" ca="1" si="65"/>
        <v>0.54545454545454541</v>
      </c>
    </row>
    <row r="117" spans="1:19" x14ac:dyDescent="0.15">
      <c r="A117" s="60"/>
      <c r="B117" s="21" t="s">
        <v>22</v>
      </c>
      <c r="C117" s="21">
        <f>[64]PARS_nsy_stat!B117</f>
        <v>11</v>
      </c>
      <c r="D117" s="21">
        <f>[64]PARS_nsy_stat!C117</f>
        <v>4</v>
      </c>
      <c r="E117" s="22">
        <f t="shared" ref="E117:F117" si="116">C117/(C116+C117)</f>
        <v>0.55000000000000004</v>
      </c>
      <c r="F117" s="22">
        <f t="shared" si="116"/>
        <v>0.26666666666666666</v>
      </c>
      <c r="I117" s="60"/>
      <c r="J117" s="21" t="s">
        <v>22</v>
      </c>
      <c r="K117" s="22">
        <f t="shared" si="61"/>
        <v>0.55000000000000004</v>
      </c>
      <c r="L117" s="22">
        <f t="shared" si="61"/>
        <v>0.26666666666666666</v>
      </c>
      <c r="O117" s="21">
        <v>115</v>
      </c>
      <c r="P117" s="7">
        <f t="shared" ca="1" si="74"/>
        <v>0.76923076923076927</v>
      </c>
      <c r="Q117" s="7">
        <f t="shared" ca="1" si="67"/>
        <v>0.23076923076923078</v>
      </c>
      <c r="R117" s="7">
        <f t="shared" ca="1" si="64"/>
        <v>0.625</v>
      </c>
      <c r="S117" s="7">
        <f t="shared" ca="1" si="65"/>
        <v>0.375</v>
      </c>
    </row>
    <row r="118" spans="1:19" x14ac:dyDescent="0.15">
      <c r="A118" s="60">
        <v>59</v>
      </c>
      <c r="B118" s="21" t="s">
        <v>21</v>
      </c>
      <c r="C118" s="21">
        <f>[64]PARS_nsy_stat!B118</f>
        <v>12</v>
      </c>
      <c r="D118" s="21">
        <f>[64]PARS_nsy_stat!C118</f>
        <v>5</v>
      </c>
      <c r="E118" s="22">
        <f t="shared" ref="E118:F118" si="117">C118/(C118+C119)</f>
        <v>0.66666666666666663</v>
      </c>
      <c r="F118" s="22">
        <f t="shared" si="117"/>
        <v>0.625</v>
      </c>
      <c r="I118" s="60">
        <v>59</v>
      </c>
      <c r="J118" s="21" t="s">
        <v>21</v>
      </c>
      <c r="K118" s="22">
        <f t="shared" si="61"/>
        <v>0.66666666666666663</v>
      </c>
      <c r="L118" s="22">
        <f t="shared" si="61"/>
        <v>0.625</v>
      </c>
      <c r="O118" s="21">
        <v>116</v>
      </c>
      <c r="P118" s="7">
        <f t="shared" ca="1" si="74"/>
        <v>0.42857142857142855</v>
      </c>
      <c r="Q118" s="7">
        <f t="shared" ca="1" si="67"/>
        <v>0.5714285714285714</v>
      </c>
      <c r="R118" s="7">
        <f t="shared" ca="1" si="64"/>
        <v>0.8571428571428571</v>
      </c>
      <c r="S118" s="7">
        <f t="shared" ca="1" si="65"/>
        <v>0.14285714285714285</v>
      </c>
    </row>
    <row r="119" spans="1:19" x14ac:dyDescent="0.15">
      <c r="A119" s="60"/>
      <c r="B119" s="21" t="s">
        <v>22</v>
      </c>
      <c r="C119" s="21">
        <f>[64]PARS_nsy_stat!B119</f>
        <v>6</v>
      </c>
      <c r="D119" s="21">
        <f>[64]PARS_nsy_stat!C119</f>
        <v>3</v>
      </c>
      <c r="E119" s="22">
        <f t="shared" ref="E119:F119" si="118">C119/(C118+C119)</f>
        <v>0.33333333333333331</v>
      </c>
      <c r="F119" s="22">
        <f t="shared" si="118"/>
        <v>0.375</v>
      </c>
      <c r="I119" s="60"/>
      <c r="J119" s="21" t="s">
        <v>22</v>
      </c>
      <c r="K119" s="22">
        <f t="shared" si="61"/>
        <v>0.33333333333333331</v>
      </c>
      <c r="L119" s="22">
        <f t="shared" si="61"/>
        <v>0.375</v>
      </c>
      <c r="O119" s="21">
        <v>117</v>
      </c>
      <c r="P119" s="7">
        <f t="shared" ca="1" si="74"/>
        <v>0.55555555555555558</v>
      </c>
      <c r="Q119" s="7">
        <f t="shared" ca="1" si="67"/>
        <v>0.44444444444444442</v>
      </c>
      <c r="R119" s="7">
        <f t="shared" ca="1" si="64"/>
        <v>0.66666666666666663</v>
      </c>
      <c r="S119" s="7">
        <f t="shared" ca="1" si="65"/>
        <v>0.33333333333333331</v>
      </c>
    </row>
    <row r="120" spans="1:19" x14ac:dyDescent="0.15">
      <c r="A120" s="60">
        <v>60</v>
      </c>
      <c r="B120" s="21" t="s">
        <v>21</v>
      </c>
      <c r="C120" s="21">
        <f>[64]PARS_nsy_stat!B120</f>
        <v>9</v>
      </c>
      <c r="D120" s="21">
        <f>[64]PARS_nsy_stat!C120</f>
        <v>6</v>
      </c>
      <c r="E120" s="22">
        <f t="shared" ref="E120:F120" si="119">C120/(C120+C121)</f>
        <v>0.69230769230769229</v>
      </c>
      <c r="F120" s="22">
        <f t="shared" si="119"/>
        <v>0.75</v>
      </c>
      <c r="I120" s="60">
        <v>60</v>
      </c>
      <c r="J120" s="21" t="s">
        <v>21</v>
      </c>
      <c r="K120" s="22">
        <f t="shared" si="61"/>
        <v>0.69230769230769229</v>
      </c>
      <c r="L120" s="22">
        <f t="shared" si="61"/>
        <v>0.75</v>
      </c>
      <c r="O120" s="21">
        <v>118</v>
      </c>
      <c r="P120" s="7">
        <f t="shared" ca="1" si="74"/>
        <v>0.5</v>
      </c>
      <c r="Q120" s="7">
        <f t="shared" ca="1" si="67"/>
        <v>0.5</v>
      </c>
      <c r="R120" s="7">
        <f t="shared" ca="1" si="64"/>
        <v>0.6</v>
      </c>
      <c r="S120" s="7">
        <f t="shared" ca="1" si="65"/>
        <v>0.4</v>
      </c>
    </row>
    <row r="121" spans="1:19" x14ac:dyDescent="0.15">
      <c r="A121" s="60"/>
      <c r="B121" s="21" t="s">
        <v>22</v>
      </c>
      <c r="C121" s="21">
        <f>[64]PARS_nsy_stat!B121</f>
        <v>4</v>
      </c>
      <c r="D121" s="21">
        <f>[64]PARS_nsy_stat!C121</f>
        <v>2</v>
      </c>
      <c r="E121" s="22">
        <f t="shared" ref="E121:F121" si="120">C121/(C120+C121)</f>
        <v>0.30769230769230771</v>
      </c>
      <c r="F121" s="22">
        <f t="shared" si="120"/>
        <v>0.25</v>
      </c>
      <c r="I121" s="60"/>
      <c r="J121" s="21" t="s">
        <v>22</v>
      </c>
      <c r="K121" s="22">
        <f t="shared" si="61"/>
        <v>0.30769230769230771</v>
      </c>
      <c r="L121" s="22">
        <f t="shared" si="61"/>
        <v>0.25</v>
      </c>
      <c r="O121" s="21">
        <v>119</v>
      </c>
      <c r="P121" s="7">
        <f t="shared" ca="1" si="74"/>
        <v>0.6470588235294118</v>
      </c>
      <c r="Q121" s="7">
        <f t="shared" ca="1" si="67"/>
        <v>0.35294117647058826</v>
      </c>
      <c r="R121" s="7">
        <f t="shared" ca="1" si="64"/>
        <v>0.5</v>
      </c>
      <c r="S121" s="7">
        <f t="shared" ca="1" si="65"/>
        <v>0.5</v>
      </c>
    </row>
    <row r="122" spans="1:19" x14ac:dyDescent="0.15">
      <c r="A122" s="60">
        <v>61</v>
      </c>
      <c r="B122" s="21" t="s">
        <v>21</v>
      </c>
      <c r="C122" s="21">
        <f>[64]PARS_nsy_stat!B122</f>
        <v>9</v>
      </c>
      <c r="D122" s="21">
        <f>[64]PARS_nsy_stat!C122</f>
        <v>6</v>
      </c>
      <c r="E122" s="22">
        <f t="shared" ref="E122:F122" si="121">C122/(C122+C123)</f>
        <v>0.5625</v>
      </c>
      <c r="F122" s="22">
        <f t="shared" si="121"/>
        <v>0.54545454545454541</v>
      </c>
      <c r="I122" s="60">
        <v>61</v>
      </c>
      <c r="J122" s="21" t="s">
        <v>21</v>
      </c>
      <c r="K122" s="22">
        <f t="shared" si="61"/>
        <v>0.5625</v>
      </c>
      <c r="L122" s="22">
        <f t="shared" si="61"/>
        <v>0.54545454545454541</v>
      </c>
      <c r="O122" s="21">
        <v>120</v>
      </c>
      <c r="P122" s="7">
        <f t="shared" ca="1" si="74"/>
        <v>0.61538461538461542</v>
      </c>
      <c r="Q122" s="7">
        <f t="shared" ca="1" si="67"/>
        <v>0.38461538461538464</v>
      </c>
      <c r="R122" s="7">
        <f t="shared" ca="1" si="64"/>
        <v>0.25</v>
      </c>
      <c r="S122" s="7">
        <f t="shared" ca="1" si="65"/>
        <v>0.75</v>
      </c>
    </row>
    <row r="123" spans="1:19" x14ac:dyDescent="0.15">
      <c r="A123" s="60"/>
      <c r="B123" s="21" t="s">
        <v>22</v>
      </c>
      <c r="C123" s="21">
        <f>[64]PARS_nsy_stat!B123</f>
        <v>7</v>
      </c>
      <c r="D123" s="21">
        <f>[64]PARS_nsy_stat!C123</f>
        <v>5</v>
      </c>
      <c r="E123" s="22">
        <f t="shared" ref="E123:F123" si="122">C123/(C122+C123)</f>
        <v>0.4375</v>
      </c>
      <c r="F123" s="22">
        <f t="shared" si="122"/>
        <v>0.45454545454545453</v>
      </c>
      <c r="I123" s="60"/>
      <c r="J123" s="21" t="s">
        <v>22</v>
      </c>
      <c r="K123" s="22">
        <f t="shared" si="61"/>
        <v>0.4375</v>
      </c>
      <c r="L123" s="22">
        <f t="shared" si="61"/>
        <v>0.45454545454545453</v>
      </c>
      <c r="O123" s="21">
        <v>121</v>
      </c>
      <c r="P123" s="7">
        <f t="shared" ca="1" si="74"/>
        <v>0.7</v>
      </c>
      <c r="Q123" s="7">
        <f t="shared" ca="1" si="67"/>
        <v>0.3</v>
      </c>
      <c r="R123" s="7">
        <f t="shared" ca="1" si="64"/>
        <v>0.625</v>
      </c>
      <c r="S123" s="7">
        <f t="shared" ca="1" si="65"/>
        <v>0.375</v>
      </c>
    </row>
    <row r="124" spans="1:19" x14ac:dyDescent="0.15">
      <c r="A124" s="60">
        <v>62</v>
      </c>
      <c r="B124" s="21" t="s">
        <v>21</v>
      </c>
      <c r="C124" s="21">
        <f>[64]PARS_nsy_stat!B124</f>
        <v>10</v>
      </c>
      <c r="D124" s="21">
        <f>[64]PARS_nsy_stat!C124</f>
        <v>5</v>
      </c>
      <c r="E124" s="22">
        <f t="shared" ref="E124:F124" si="123">C124/(C124+C125)</f>
        <v>0.66666666666666663</v>
      </c>
      <c r="F124" s="22">
        <f t="shared" si="123"/>
        <v>0.45454545454545453</v>
      </c>
      <c r="I124" s="60">
        <v>62</v>
      </c>
      <c r="J124" s="21" t="s">
        <v>21</v>
      </c>
      <c r="K124" s="22">
        <f t="shared" si="61"/>
        <v>0.66666666666666663</v>
      </c>
      <c r="L124" s="22">
        <f t="shared" si="61"/>
        <v>0.45454545454545453</v>
      </c>
      <c r="O124" s="21">
        <v>122</v>
      </c>
      <c r="P124" s="7">
        <f t="shared" ca="1" si="74"/>
        <v>0.875</v>
      </c>
      <c r="Q124" s="7">
        <f t="shared" ca="1" si="67"/>
        <v>0.125</v>
      </c>
      <c r="R124" s="7">
        <f t="shared" ca="1" si="64"/>
        <v>0.53333333333333333</v>
      </c>
      <c r="S124" s="7">
        <f t="shared" ca="1" si="65"/>
        <v>0.46666666666666667</v>
      </c>
    </row>
    <row r="125" spans="1:19" x14ac:dyDescent="0.15">
      <c r="A125" s="60"/>
      <c r="B125" s="21" t="s">
        <v>22</v>
      </c>
      <c r="C125" s="21">
        <f>[64]PARS_nsy_stat!B125</f>
        <v>5</v>
      </c>
      <c r="D125" s="21">
        <f>[64]PARS_nsy_stat!C125</f>
        <v>6</v>
      </c>
      <c r="E125" s="22">
        <f t="shared" ref="E125:F125" si="124">C125/(C124+C125)</f>
        <v>0.33333333333333331</v>
      </c>
      <c r="F125" s="22">
        <f t="shared" si="124"/>
        <v>0.54545454545454541</v>
      </c>
      <c r="I125" s="60"/>
      <c r="J125" s="21" t="s">
        <v>22</v>
      </c>
      <c r="K125" s="22">
        <f t="shared" si="61"/>
        <v>0.33333333333333331</v>
      </c>
      <c r="L125" s="22">
        <f t="shared" si="61"/>
        <v>0.54545454545454541</v>
      </c>
      <c r="O125" s="21">
        <v>123</v>
      </c>
      <c r="P125" s="7">
        <f t="shared" ca="1" si="74"/>
        <v>0.6428571428571429</v>
      </c>
      <c r="Q125" s="7">
        <f t="shared" ca="1" si="67"/>
        <v>0.35714285714285715</v>
      </c>
      <c r="R125" s="7">
        <f t="shared" ca="1" si="64"/>
        <v>0.41666666666666669</v>
      </c>
      <c r="S125" s="7">
        <f t="shared" ca="1" si="65"/>
        <v>0.58333333333333337</v>
      </c>
    </row>
    <row r="126" spans="1:19" x14ac:dyDescent="0.15">
      <c r="A126" s="60">
        <v>63</v>
      </c>
      <c r="B126" s="21" t="s">
        <v>21</v>
      </c>
      <c r="C126" s="21">
        <f>[64]PARS_nsy_stat!B126</f>
        <v>5</v>
      </c>
      <c r="D126" s="21">
        <f>[64]PARS_nsy_stat!C126</f>
        <v>6</v>
      </c>
      <c r="E126" s="22">
        <f t="shared" ref="E126:F126" si="125">C126/(C126+C127)</f>
        <v>0.625</v>
      </c>
      <c r="F126" s="22">
        <f t="shared" si="125"/>
        <v>0.6</v>
      </c>
      <c r="I126" s="60">
        <v>63</v>
      </c>
      <c r="J126" s="21" t="s">
        <v>21</v>
      </c>
      <c r="K126" s="22">
        <f t="shared" si="61"/>
        <v>0.625</v>
      </c>
      <c r="L126" s="22">
        <f t="shared" si="61"/>
        <v>0.6</v>
      </c>
      <c r="O126" s="21">
        <v>124</v>
      </c>
      <c r="P126" s="7">
        <f t="shared" ca="1" si="74"/>
        <v>0.6071428571428571</v>
      </c>
      <c r="Q126" s="7">
        <f t="shared" ca="1" si="67"/>
        <v>0.39285714285714285</v>
      </c>
      <c r="R126" s="7">
        <f t="shared" ca="1" si="64"/>
        <v>0.55555555555555558</v>
      </c>
      <c r="S126" s="7">
        <f t="shared" ca="1" si="65"/>
        <v>0.44444444444444442</v>
      </c>
    </row>
    <row r="127" spans="1:19" x14ac:dyDescent="0.15">
      <c r="A127" s="60"/>
      <c r="B127" s="21" t="s">
        <v>22</v>
      </c>
      <c r="C127" s="21">
        <f>[64]PARS_nsy_stat!B127</f>
        <v>3</v>
      </c>
      <c r="D127" s="21">
        <f>[64]PARS_nsy_stat!C127</f>
        <v>4</v>
      </c>
      <c r="E127" s="22">
        <f t="shared" ref="E127:F127" si="126">C127/(C126+C127)</f>
        <v>0.375</v>
      </c>
      <c r="F127" s="22">
        <f t="shared" si="126"/>
        <v>0.4</v>
      </c>
      <c r="I127" s="60"/>
      <c r="J127" s="21" t="s">
        <v>22</v>
      </c>
      <c r="K127" s="22">
        <f t="shared" si="61"/>
        <v>0.375</v>
      </c>
      <c r="L127" s="22">
        <f t="shared" si="61"/>
        <v>0.4</v>
      </c>
      <c r="O127" s="21">
        <v>125</v>
      </c>
      <c r="P127" s="7">
        <f t="shared" ca="1" si="74"/>
        <v>0.55555555555555558</v>
      </c>
      <c r="Q127" s="7">
        <f t="shared" ca="1" si="67"/>
        <v>0.44444444444444442</v>
      </c>
      <c r="R127" s="7">
        <f t="shared" ca="1" si="64"/>
        <v>0.47368421052631576</v>
      </c>
      <c r="S127" s="7">
        <f t="shared" ca="1" si="65"/>
        <v>0.52631578947368418</v>
      </c>
    </row>
    <row r="128" spans="1:19" x14ac:dyDescent="0.15">
      <c r="A128" s="60">
        <v>64</v>
      </c>
      <c r="B128" s="21" t="s">
        <v>21</v>
      </c>
      <c r="C128" s="21">
        <f>[64]PARS_nsy_stat!B128</f>
        <v>6</v>
      </c>
      <c r="D128" s="21">
        <f>[64]PARS_nsy_stat!C128</f>
        <v>6</v>
      </c>
      <c r="E128" s="22">
        <f t="shared" ref="E128:F128" si="127">C128/(C128+C129)</f>
        <v>0.66666666666666663</v>
      </c>
      <c r="F128" s="22">
        <f t="shared" si="127"/>
        <v>0.6</v>
      </c>
      <c r="I128" s="60">
        <v>64</v>
      </c>
      <c r="J128" s="21" t="s">
        <v>21</v>
      </c>
      <c r="K128" s="22">
        <f t="shared" si="61"/>
        <v>0.66666666666666663</v>
      </c>
      <c r="L128" s="22">
        <f t="shared" si="61"/>
        <v>0.6</v>
      </c>
      <c r="O128" s="21">
        <v>126</v>
      </c>
      <c r="P128" s="7">
        <f t="shared" ca="1" si="74"/>
        <v>0.65789473684210531</v>
      </c>
      <c r="Q128" s="7">
        <f t="shared" ca="1" si="67"/>
        <v>0.34210526315789475</v>
      </c>
      <c r="R128" s="7">
        <f t="shared" ca="1" si="64"/>
        <v>0.41176470588235292</v>
      </c>
      <c r="S128" s="7">
        <f t="shared" ca="1" si="65"/>
        <v>0.58823529411764708</v>
      </c>
    </row>
    <row r="129" spans="1:19" x14ac:dyDescent="0.15">
      <c r="A129" s="60"/>
      <c r="B129" s="21" t="s">
        <v>22</v>
      </c>
      <c r="C129" s="21">
        <f>[64]PARS_nsy_stat!B129</f>
        <v>3</v>
      </c>
      <c r="D129" s="21">
        <f>[64]PARS_nsy_stat!C129</f>
        <v>4</v>
      </c>
      <c r="E129" s="22">
        <f t="shared" ref="E129:F129" si="128">C129/(C128+C129)</f>
        <v>0.33333333333333331</v>
      </c>
      <c r="F129" s="22">
        <f t="shared" si="128"/>
        <v>0.4</v>
      </c>
      <c r="I129" s="60"/>
      <c r="J129" s="21" t="s">
        <v>22</v>
      </c>
      <c r="K129" s="22">
        <f t="shared" si="61"/>
        <v>0.33333333333333331</v>
      </c>
      <c r="L129" s="22">
        <f t="shared" si="61"/>
        <v>0.4</v>
      </c>
      <c r="O129" s="21">
        <v>127</v>
      </c>
      <c r="P129" s="7">
        <f t="shared" ca="1" si="74"/>
        <v>0.66666666666666663</v>
      </c>
      <c r="Q129" s="7">
        <f t="shared" ca="1" si="67"/>
        <v>0.33333333333333331</v>
      </c>
      <c r="R129" s="7">
        <f t="shared" ca="1" si="64"/>
        <v>0.52830188679245282</v>
      </c>
      <c r="S129" s="7">
        <f t="shared" ca="1" si="65"/>
        <v>0.47169811320754718</v>
      </c>
    </row>
    <row r="130" spans="1:19" x14ac:dyDescent="0.15">
      <c r="A130" s="60">
        <v>65</v>
      </c>
      <c r="B130" s="21" t="s">
        <v>21</v>
      </c>
      <c r="C130" s="21">
        <f>[64]PARS_nsy_stat!B130</f>
        <v>4</v>
      </c>
      <c r="D130" s="21">
        <f>[64]PARS_nsy_stat!C130</f>
        <v>6</v>
      </c>
      <c r="E130" s="22">
        <f t="shared" ref="E130:F130" si="129">C130/(C130+C131)</f>
        <v>0.8</v>
      </c>
      <c r="F130" s="22">
        <f t="shared" si="129"/>
        <v>0.375</v>
      </c>
      <c r="I130" s="60">
        <v>65</v>
      </c>
      <c r="J130" s="21" t="s">
        <v>21</v>
      </c>
      <c r="K130" s="22">
        <f t="shared" ref="K130:L193" si="130">E130</f>
        <v>0.8</v>
      </c>
      <c r="L130" s="22">
        <f t="shared" si="130"/>
        <v>0.375</v>
      </c>
    </row>
    <row r="131" spans="1:19" x14ac:dyDescent="0.15">
      <c r="A131" s="60"/>
      <c r="B131" s="21" t="s">
        <v>22</v>
      </c>
      <c r="C131" s="21">
        <f>[64]PARS_nsy_stat!B131</f>
        <v>1</v>
      </c>
      <c r="D131" s="21">
        <f>[64]PARS_nsy_stat!C131</f>
        <v>10</v>
      </c>
      <c r="E131" s="22">
        <f t="shared" ref="E131:F131" si="131">C131/(C130+C131)</f>
        <v>0.2</v>
      </c>
      <c r="F131" s="22">
        <f t="shared" si="131"/>
        <v>0.625</v>
      </c>
      <c r="I131" s="60"/>
      <c r="J131" s="21" t="s">
        <v>22</v>
      </c>
      <c r="K131" s="22">
        <f t="shared" si="130"/>
        <v>0.2</v>
      </c>
      <c r="L131" s="22">
        <f t="shared" si="130"/>
        <v>0.625</v>
      </c>
    </row>
    <row r="132" spans="1:19" x14ac:dyDescent="0.15">
      <c r="A132" s="60">
        <v>66</v>
      </c>
      <c r="B132" s="21" t="s">
        <v>21</v>
      </c>
      <c r="C132" s="21">
        <f>[64]PARS_nsy_stat!B132</f>
        <v>4</v>
      </c>
      <c r="D132" s="21">
        <f>[64]PARS_nsy_stat!C132</f>
        <v>3</v>
      </c>
      <c r="E132" s="22">
        <f t="shared" ref="E132:F132" si="132">C132/(C132+C133)</f>
        <v>0.5714285714285714</v>
      </c>
      <c r="F132" s="22">
        <f t="shared" si="132"/>
        <v>0.6</v>
      </c>
      <c r="I132" s="60">
        <v>66</v>
      </c>
      <c r="J132" s="21" t="s">
        <v>21</v>
      </c>
      <c r="K132" s="22">
        <f t="shared" si="130"/>
        <v>0.5714285714285714</v>
      </c>
      <c r="L132" s="22">
        <f t="shared" si="130"/>
        <v>0.6</v>
      </c>
    </row>
    <row r="133" spans="1:19" x14ac:dyDescent="0.15">
      <c r="A133" s="60"/>
      <c r="B133" s="21" t="s">
        <v>22</v>
      </c>
      <c r="C133" s="21">
        <f>[64]PARS_nsy_stat!B133</f>
        <v>3</v>
      </c>
      <c r="D133" s="21">
        <f>[64]PARS_nsy_stat!C133</f>
        <v>2</v>
      </c>
      <c r="E133" s="22">
        <f t="shared" ref="E133:F133" si="133">C133/(C132+C133)</f>
        <v>0.42857142857142855</v>
      </c>
      <c r="F133" s="22">
        <f t="shared" si="133"/>
        <v>0.4</v>
      </c>
      <c r="I133" s="60"/>
      <c r="J133" s="21" t="s">
        <v>22</v>
      </c>
      <c r="K133" s="22">
        <f t="shared" si="130"/>
        <v>0.42857142857142855</v>
      </c>
      <c r="L133" s="22">
        <f t="shared" si="130"/>
        <v>0.4</v>
      </c>
      <c r="P133" s="24"/>
      <c r="Q133" s="24"/>
      <c r="R133" s="24"/>
      <c r="S133" s="24"/>
    </row>
    <row r="134" spans="1:19" x14ac:dyDescent="0.15">
      <c r="A134" s="60">
        <v>67</v>
      </c>
      <c r="B134" s="21" t="s">
        <v>21</v>
      </c>
      <c r="C134" s="21">
        <f>[64]PARS_nsy_stat!B134</f>
        <v>7</v>
      </c>
      <c r="D134" s="21">
        <f>[64]PARS_nsy_stat!C134</f>
        <v>6</v>
      </c>
      <c r="E134" s="22">
        <f t="shared" ref="E134:F134" si="134">C134/(C134+C135)</f>
        <v>0.53846153846153844</v>
      </c>
      <c r="F134" s="22">
        <f t="shared" si="134"/>
        <v>0.42857142857142855</v>
      </c>
      <c r="I134" s="60">
        <v>67</v>
      </c>
      <c r="J134" s="21" t="s">
        <v>21</v>
      </c>
      <c r="K134" s="22">
        <f t="shared" si="130"/>
        <v>0.53846153846153844</v>
      </c>
      <c r="L134" s="22">
        <f t="shared" si="130"/>
        <v>0.42857142857142855</v>
      </c>
      <c r="P134" s="24"/>
      <c r="Q134" s="24"/>
      <c r="R134" s="24"/>
      <c r="S134" s="24"/>
    </row>
    <row r="135" spans="1:19" x14ac:dyDescent="0.15">
      <c r="A135" s="60"/>
      <c r="B135" s="21" t="s">
        <v>22</v>
      </c>
      <c r="C135" s="21">
        <f>[64]PARS_nsy_stat!B135</f>
        <v>6</v>
      </c>
      <c r="D135" s="21">
        <f>[64]PARS_nsy_stat!C135</f>
        <v>8</v>
      </c>
      <c r="E135" s="22">
        <f t="shared" ref="E135:F135" si="135">C135/(C134+C135)</f>
        <v>0.46153846153846156</v>
      </c>
      <c r="F135" s="22">
        <f t="shared" si="135"/>
        <v>0.5714285714285714</v>
      </c>
      <c r="I135" s="60"/>
      <c r="J135" s="21" t="s">
        <v>22</v>
      </c>
      <c r="K135" s="22">
        <f t="shared" si="130"/>
        <v>0.46153846153846156</v>
      </c>
      <c r="L135" s="22">
        <f t="shared" si="130"/>
        <v>0.5714285714285714</v>
      </c>
      <c r="P135" s="24"/>
      <c r="Q135" s="24"/>
      <c r="R135" s="24"/>
      <c r="S135" s="24"/>
    </row>
    <row r="136" spans="1:19" x14ac:dyDescent="0.15">
      <c r="A136" s="60">
        <v>68</v>
      </c>
      <c r="B136" s="21" t="s">
        <v>21</v>
      </c>
      <c r="C136" s="21">
        <f>[64]PARS_nsy_stat!B136</f>
        <v>6</v>
      </c>
      <c r="D136" s="21">
        <f>[64]PARS_nsy_stat!C136</f>
        <v>9</v>
      </c>
      <c r="E136" s="22">
        <f t="shared" ref="E136:F136" si="136">C136/(C136+C137)</f>
        <v>0.54545454545454541</v>
      </c>
      <c r="F136" s="22">
        <f t="shared" si="136"/>
        <v>0.69230769230769229</v>
      </c>
      <c r="I136" s="60">
        <v>68</v>
      </c>
      <c r="J136" s="21" t="s">
        <v>21</v>
      </c>
      <c r="K136" s="22">
        <f t="shared" si="130"/>
        <v>0.54545454545454541</v>
      </c>
      <c r="L136" s="22">
        <f t="shared" si="130"/>
        <v>0.69230769230769229</v>
      </c>
      <c r="P136" s="24"/>
      <c r="Q136" s="24"/>
      <c r="R136" s="24"/>
      <c r="S136" s="24"/>
    </row>
    <row r="137" spans="1:19" x14ac:dyDescent="0.15">
      <c r="A137" s="60"/>
      <c r="B137" s="21" t="s">
        <v>22</v>
      </c>
      <c r="C137" s="21">
        <f>[64]PARS_nsy_stat!B137</f>
        <v>5</v>
      </c>
      <c r="D137" s="21">
        <f>[64]PARS_nsy_stat!C137</f>
        <v>4</v>
      </c>
      <c r="E137" s="22">
        <f t="shared" ref="E137:F137" si="137">C137/(C136+C137)</f>
        <v>0.45454545454545453</v>
      </c>
      <c r="F137" s="22">
        <f t="shared" si="137"/>
        <v>0.30769230769230771</v>
      </c>
      <c r="I137" s="60"/>
      <c r="J137" s="21" t="s">
        <v>22</v>
      </c>
      <c r="K137" s="22">
        <f t="shared" si="130"/>
        <v>0.45454545454545453</v>
      </c>
      <c r="L137" s="22">
        <f t="shared" si="130"/>
        <v>0.30769230769230771</v>
      </c>
      <c r="P137" s="24"/>
      <c r="Q137" s="24"/>
      <c r="R137" s="24"/>
      <c r="S137" s="24"/>
    </row>
    <row r="138" spans="1:19" x14ac:dyDescent="0.15">
      <c r="A138" s="60">
        <v>69</v>
      </c>
      <c r="B138" s="21" t="s">
        <v>21</v>
      </c>
      <c r="C138" s="21">
        <f>[64]PARS_nsy_stat!B138</f>
        <v>6</v>
      </c>
      <c r="D138" s="21">
        <f>[64]PARS_nsy_stat!C138</f>
        <v>5</v>
      </c>
      <c r="E138" s="22">
        <f t="shared" ref="E138:F138" si="138">C138/(C138+C139)</f>
        <v>0.66666666666666663</v>
      </c>
      <c r="F138" s="22">
        <f t="shared" si="138"/>
        <v>0.55555555555555558</v>
      </c>
      <c r="I138" s="60">
        <v>69</v>
      </c>
      <c r="J138" s="21" t="s">
        <v>21</v>
      </c>
      <c r="K138" s="22">
        <f t="shared" si="130"/>
        <v>0.66666666666666663</v>
      </c>
      <c r="L138" s="22">
        <f t="shared" si="130"/>
        <v>0.55555555555555558</v>
      </c>
      <c r="P138" s="24"/>
      <c r="Q138" s="24"/>
      <c r="R138" s="24"/>
      <c r="S138" s="24"/>
    </row>
    <row r="139" spans="1:19" x14ac:dyDescent="0.15">
      <c r="A139" s="60"/>
      <c r="B139" s="21" t="s">
        <v>22</v>
      </c>
      <c r="C139" s="21">
        <f>[64]PARS_nsy_stat!B139</f>
        <v>3</v>
      </c>
      <c r="D139" s="21">
        <f>[64]PARS_nsy_stat!C139</f>
        <v>4</v>
      </c>
      <c r="E139" s="22">
        <f t="shared" ref="E139:F139" si="139">C139/(C138+C139)</f>
        <v>0.33333333333333331</v>
      </c>
      <c r="F139" s="22">
        <f t="shared" si="139"/>
        <v>0.44444444444444442</v>
      </c>
      <c r="I139" s="60"/>
      <c r="J139" s="21" t="s">
        <v>22</v>
      </c>
      <c r="K139" s="22">
        <f t="shared" si="130"/>
        <v>0.33333333333333331</v>
      </c>
      <c r="L139" s="22">
        <f t="shared" si="130"/>
        <v>0.44444444444444442</v>
      </c>
      <c r="P139" s="24"/>
      <c r="Q139" s="24"/>
      <c r="R139" s="24"/>
      <c r="S139" s="24"/>
    </row>
    <row r="140" spans="1:19" x14ac:dyDescent="0.15">
      <c r="A140" s="60">
        <v>70</v>
      </c>
      <c r="B140" s="21" t="s">
        <v>21</v>
      </c>
      <c r="C140" s="21">
        <f>[64]PARS_nsy_stat!B140</f>
        <v>5</v>
      </c>
      <c r="D140" s="21">
        <f>[64]PARS_nsy_stat!C140</f>
        <v>6</v>
      </c>
      <c r="E140" s="22">
        <f t="shared" ref="E140:F140" si="140">C140/(C140+C141)</f>
        <v>0.83333333333333337</v>
      </c>
      <c r="F140" s="22">
        <f t="shared" si="140"/>
        <v>0.42857142857142855</v>
      </c>
      <c r="I140" s="60">
        <v>70</v>
      </c>
      <c r="J140" s="21" t="s">
        <v>21</v>
      </c>
      <c r="K140" s="22">
        <f t="shared" si="130"/>
        <v>0.83333333333333337</v>
      </c>
      <c r="L140" s="22">
        <f t="shared" si="130"/>
        <v>0.42857142857142855</v>
      </c>
      <c r="P140" s="24"/>
      <c r="Q140" s="24"/>
      <c r="R140" s="24"/>
      <c r="S140" s="24"/>
    </row>
    <row r="141" spans="1:19" x14ac:dyDescent="0.15">
      <c r="A141" s="60"/>
      <c r="B141" s="21" t="s">
        <v>22</v>
      </c>
      <c r="C141" s="21">
        <f>[64]PARS_nsy_stat!B141</f>
        <v>1</v>
      </c>
      <c r="D141" s="21">
        <f>[64]PARS_nsy_stat!C141</f>
        <v>8</v>
      </c>
      <c r="E141" s="22">
        <f t="shared" ref="E141:F141" si="141">C141/(C140+C141)</f>
        <v>0.16666666666666666</v>
      </c>
      <c r="F141" s="22">
        <f t="shared" si="141"/>
        <v>0.5714285714285714</v>
      </c>
      <c r="I141" s="60"/>
      <c r="J141" s="21" t="s">
        <v>22</v>
      </c>
      <c r="K141" s="22">
        <f t="shared" si="130"/>
        <v>0.16666666666666666</v>
      </c>
      <c r="L141" s="22">
        <f t="shared" si="130"/>
        <v>0.5714285714285714</v>
      </c>
      <c r="P141" s="24"/>
      <c r="Q141" s="24"/>
      <c r="R141" s="24"/>
      <c r="S141" s="24"/>
    </row>
    <row r="142" spans="1:19" x14ac:dyDescent="0.15">
      <c r="A142" s="60">
        <v>71</v>
      </c>
      <c r="B142" s="21" t="s">
        <v>21</v>
      </c>
      <c r="C142" s="21">
        <f>[64]PARS_nsy_stat!B142</f>
        <v>5</v>
      </c>
      <c r="D142" s="21">
        <f>[64]PARS_nsy_stat!C142</f>
        <v>5</v>
      </c>
      <c r="E142" s="22">
        <f t="shared" ref="E142:F142" si="142">C142/(C142+C143)</f>
        <v>0.625</v>
      </c>
      <c r="F142" s="22">
        <f t="shared" si="142"/>
        <v>0.5</v>
      </c>
      <c r="I142" s="60">
        <v>71</v>
      </c>
      <c r="J142" s="21" t="s">
        <v>21</v>
      </c>
      <c r="K142" s="22">
        <f t="shared" si="130"/>
        <v>0.625</v>
      </c>
      <c r="L142" s="22">
        <f t="shared" si="130"/>
        <v>0.5</v>
      </c>
      <c r="P142" s="24"/>
      <c r="Q142" s="24"/>
      <c r="R142" s="24"/>
      <c r="S142" s="24"/>
    </row>
    <row r="143" spans="1:19" x14ac:dyDescent="0.15">
      <c r="A143" s="60"/>
      <c r="B143" s="21" t="s">
        <v>22</v>
      </c>
      <c r="C143" s="21">
        <f>[64]PARS_nsy_stat!B143</f>
        <v>3</v>
      </c>
      <c r="D143" s="21">
        <f>[64]PARS_nsy_stat!C143</f>
        <v>5</v>
      </c>
      <c r="E143" s="22">
        <f t="shared" ref="E143:F143" si="143">C143/(C142+C143)</f>
        <v>0.375</v>
      </c>
      <c r="F143" s="22">
        <f t="shared" si="143"/>
        <v>0.5</v>
      </c>
      <c r="I143" s="60"/>
      <c r="J143" s="21" t="s">
        <v>22</v>
      </c>
      <c r="K143" s="22">
        <f t="shared" si="130"/>
        <v>0.375</v>
      </c>
      <c r="L143" s="22">
        <f t="shared" si="130"/>
        <v>0.5</v>
      </c>
      <c r="P143" s="24"/>
      <c r="Q143" s="24"/>
      <c r="R143" s="24"/>
      <c r="S143" s="24"/>
    </row>
    <row r="144" spans="1:19" x14ac:dyDescent="0.15">
      <c r="A144" s="60">
        <v>72</v>
      </c>
      <c r="B144" s="21" t="s">
        <v>21</v>
      </c>
      <c r="C144" s="21">
        <f>[64]PARS_nsy_stat!B144</f>
        <v>4</v>
      </c>
      <c r="D144" s="21">
        <f>[64]PARS_nsy_stat!C144</f>
        <v>6</v>
      </c>
      <c r="E144" s="22">
        <f t="shared" ref="E144:F144" si="144">C144/(C144+C145)</f>
        <v>0.5</v>
      </c>
      <c r="F144" s="22">
        <f t="shared" si="144"/>
        <v>0.75</v>
      </c>
      <c r="I144" s="60">
        <v>72</v>
      </c>
      <c r="J144" s="21" t="s">
        <v>21</v>
      </c>
      <c r="K144" s="22">
        <f t="shared" si="130"/>
        <v>0.5</v>
      </c>
      <c r="L144" s="22">
        <f t="shared" si="130"/>
        <v>0.75</v>
      </c>
      <c r="P144" s="24"/>
      <c r="Q144" s="24"/>
      <c r="R144" s="24"/>
      <c r="S144" s="24"/>
    </row>
    <row r="145" spans="1:19" x14ac:dyDescent="0.15">
      <c r="A145" s="60"/>
      <c r="B145" s="21" t="s">
        <v>22</v>
      </c>
      <c r="C145" s="21">
        <f>[64]PARS_nsy_stat!B145</f>
        <v>4</v>
      </c>
      <c r="D145" s="21">
        <f>[64]PARS_nsy_stat!C145</f>
        <v>2</v>
      </c>
      <c r="E145" s="22">
        <f t="shared" ref="E145:F145" si="145">C145/(C144+C145)</f>
        <v>0.5</v>
      </c>
      <c r="F145" s="22">
        <f t="shared" si="145"/>
        <v>0.25</v>
      </c>
      <c r="I145" s="60"/>
      <c r="J145" s="21" t="s">
        <v>22</v>
      </c>
      <c r="K145" s="22">
        <f t="shared" si="130"/>
        <v>0.5</v>
      </c>
      <c r="L145" s="22">
        <f t="shared" si="130"/>
        <v>0.25</v>
      </c>
      <c r="P145" s="24"/>
      <c r="Q145" s="24"/>
      <c r="R145" s="24"/>
      <c r="S145" s="24"/>
    </row>
    <row r="146" spans="1:19" x14ac:dyDescent="0.15">
      <c r="A146" s="60">
        <v>73</v>
      </c>
      <c r="B146" s="21" t="s">
        <v>21</v>
      </c>
      <c r="C146" s="21">
        <f>[64]PARS_nsy_stat!B146</f>
        <v>2</v>
      </c>
      <c r="D146" s="21">
        <f>[64]PARS_nsy_stat!C146</f>
        <v>5</v>
      </c>
      <c r="E146" s="22">
        <f t="shared" ref="E146:F146" si="146">C146/(C146+C147)</f>
        <v>0.2857142857142857</v>
      </c>
      <c r="F146" s="22">
        <f t="shared" si="146"/>
        <v>0.38461538461538464</v>
      </c>
      <c r="I146" s="60">
        <v>73</v>
      </c>
      <c r="J146" s="21" t="s">
        <v>21</v>
      </c>
      <c r="K146" s="22">
        <f t="shared" si="130"/>
        <v>0.2857142857142857</v>
      </c>
      <c r="L146" s="22">
        <f t="shared" si="130"/>
        <v>0.38461538461538464</v>
      </c>
      <c r="P146" s="24"/>
      <c r="Q146" s="24"/>
      <c r="R146" s="24"/>
      <c r="S146" s="24"/>
    </row>
    <row r="147" spans="1:19" x14ac:dyDescent="0.15">
      <c r="A147" s="60"/>
      <c r="B147" s="21" t="s">
        <v>22</v>
      </c>
      <c r="C147" s="21">
        <f>[64]PARS_nsy_stat!B147</f>
        <v>5</v>
      </c>
      <c r="D147" s="21">
        <f>[64]PARS_nsy_stat!C147</f>
        <v>8</v>
      </c>
      <c r="E147" s="22">
        <f t="shared" ref="E147:F147" si="147">C147/(C146+C147)</f>
        <v>0.7142857142857143</v>
      </c>
      <c r="F147" s="22">
        <f t="shared" si="147"/>
        <v>0.61538461538461542</v>
      </c>
      <c r="I147" s="60"/>
      <c r="J147" s="21" t="s">
        <v>22</v>
      </c>
      <c r="K147" s="22">
        <f t="shared" si="130"/>
        <v>0.7142857142857143</v>
      </c>
      <c r="L147" s="22">
        <f t="shared" si="130"/>
        <v>0.61538461538461542</v>
      </c>
      <c r="P147" s="24"/>
      <c r="Q147" s="24"/>
      <c r="R147" s="24"/>
      <c r="S147" s="24"/>
    </row>
    <row r="148" spans="1:19" x14ac:dyDescent="0.15">
      <c r="A148" s="60">
        <v>74</v>
      </c>
      <c r="B148" s="21" t="s">
        <v>21</v>
      </c>
      <c r="C148" s="21">
        <f>[64]PARS_nsy_stat!B148</f>
        <v>3</v>
      </c>
      <c r="D148" s="21">
        <f>[64]PARS_nsy_stat!C148</f>
        <v>5</v>
      </c>
      <c r="E148" s="22">
        <f t="shared" ref="E148:F148" si="148">C148/(C148+C149)</f>
        <v>0.42857142857142855</v>
      </c>
      <c r="F148" s="22">
        <f t="shared" si="148"/>
        <v>0.83333333333333337</v>
      </c>
      <c r="I148" s="60">
        <v>74</v>
      </c>
      <c r="J148" s="21" t="s">
        <v>21</v>
      </c>
      <c r="K148" s="22">
        <f t="shared" si="130"/>
        <v>0.42857142857142855</v>
      </c>
      <c r="L148" s="22">
        <f t="shared" si="130"/>
        <v>0.83333333333333337</v>
      </c>
      <c r="P148" s="24"/>
      <c r="Q148" s="24"/>
      <c r="R148" s="24"/>
      <c r="S148" s="24"/>
    </row>
    <row r="149" spans="1:19" x14ac:dyDescent="0.15">
      <c r="A149" s="60"/>
      <c r="B149" s="21" t="s">
        <v>22</v>
      </c>
      <c r="C149" s="21">
        <f>[64]PARS_nsy_stat!B149</f>
        <v>4</v>
      </c>
      <c r="D149" s="21">
        <f>[64]PARS_nsy_stat!C149</f>
        <v>1</v>
      </c>
      <c r="E149" s="22">
        <f t="shared" ref="E149:F149" si="149">C149/(C148+C149)</f>
        <v>0.5714285714285714</v>
      </c>
      <c r="F149" s="22">
        <f t="shared" si="149"/>
        <v>0.16666666666666666</v>
      </c>
      <c r="I149" s="60"/>
      <c r="J149" s="21" t="s">
        <v>22</v>
      </c>
      <c r="K149" s="22">
        <f t="shared" si="130"/>
        <v>0.5714285714285714</v>
      </c>
      <c r="L149" s="22">
        <f t="shared" si="130"/>
        <v>0.16666666666666666</v>
      </c>
      <c r="P149" s="24"/>
      <c r="Q149" s="24"/>
      <c r="R149" s="24"/>
      <c r="S149" s="24"/>
    </row>
    <row r="150" spans="1:19" x14ac:dyDescent="0.15">
      <c r="A150" s="60">
        <v>75</v>
      </c>
      <c r="B150" s="21" t="s">
        <v>21</v>
      </c>
      <c r="C150" s="21">
        <f>[64]PARS_nsy_stat!B150</f>
        <v>10</v>
      </c>
      <c r="D150" s="21">
        <f>[64]PARS_nsy_stat!C150</f>
        <v>3</v>
      </c>
      <c r="E150" s="22">
        <f t="shared" ref="E150:F150" si="150">C150/(C150+C151)</f>
        <v>0.55555555555555558</v>
      </c>
      <c r="F150" s="22">
        <f t="shared" si="150"/>
        <v>0.375</v>
      </c>
      <c r="I150" s="60">
        <v>75</v>
      </c>
      <c r="J150" s="21" t="s">
        <v>21</v>
      </c>
      <c r="K150" s="22">
        <f t="shared" si="130"/>
        <v>0.55555555555555558</v>
      </c>
      <c r="L150" s="22">
        <f t="shared" si="130"/>
        <v>0.375</v>
      </c>
      <c r="P150" s="24"/>
      <c r="Q150" s="24"/>
      <c r="R150" s="24"/>
      <c r="S150" s="24"/>
    </row>
    <row r="151" spans="1:19" x14ac:dyDescent="0.15">
      <c r="A151" s="60"/>
      <c r="B151" s="21" t="s">
        <v>22</v>
      </c>
      <c r="C151" s="21">
        <f>[64]PARS_nsy_stat!B151</f>
        <v>8</v>
      </c>
      <c r="D151" s="21">
        <f>[64]PARS_nsy_stat!C151</f>
        <v>5</v>
      </c>
      <c r="E151" s="22">
        <f t="shared" ref="E151:F151" si="151">C151/(C150+C151)</f>
        <v>0.44444444444444442</v>
      </c>
      <c r="F151" s="22">
        <f t="shared" si="151"/>
        <v>0.625</v>
      </c>
      <c r="I151" s="60"/>
      <c r="J151" s="21" t="s">
        <v>22</v>
      </c>
      <c r="K151" s="22">
        <f t="shared" si="130"/>
        <v>0.44444444444444442</v>
      </c>
      <c r="L151" s="22">
        <f t="shared" si="130"/>
        <v>0.625</v>
      </c>
      <c r="P151" s="24"/>
      <c r="Q151" s="24"/>
      <c r="R151" s="24"/>
      <c r="S151" s="24"/>
    </row>
    <row r="152" spans="1:19" x14ac:dyDescent="0.15">
      <c r="A152" s="60">
        <v>76</v>
      </c>
      <c r="B152" s="21" t="s">
        <v>21</v>
      </c>
      <c r="C152" s="21">
        <f>[64]PARS_nsy_stat!B152</f>
        <v>6</v>
      </c>
      <c r="D152" s="21">
        <f>[64]PARS_nsy_stat!C152</f>
        <v>3</v>
      </c>
      <c r="E152" s="22">
        <f t="shared" ref="E152:F152" si="152">C152/(C152+C153)</f>
        <v>0.66666666666666663</v>
      </c>
      <c r="F152" s="22">
        <f t="shared" si="152"/>
        <v>0.3</v>
      </c>
      <c r="I152" s="60">
        <v>76</v>
      </c>
      <c r="J152" s="21" t="s">
        <v>21</v>
      </c>
      <c r="K152" s="22">
        <f t="shared" si="130"/>
        <v>0.66666666666666663</v>
      </c>
      <c r="L152" s="22">
        <f t="shared" si="130"/>
        <v>0.3</v>
      </c>
      <c r="P152" s="24"/>
      <c r="Q152" s="24"/>
      <c r="R152" s="24"/>
      <c r="S152" s="24"/>
    </row>
    <row r="153" spans="1:19" x14ac:dyDescent="0.15">
      <c r="A153" s="60"/>
      <c r="B153" s="21" t="s">
        <v>22</v>
      </c>
      <c r="C153" s="21">
        <f>[64]PARS_nsy_stat!B153</f>
        <v>3</v>
      </c>
      <c r="D153" s="21">
        <f>[64]PARS_nsy_stat!C153</f>
        <v>7</v>
      </c>
      <c r="E153" s="22">
        <f t="shared" ref="E153:F153" si="153">C153/(C152+C153)</f>
        <v>0.33333333333333331</v>
      </c>
      <c r="F153" s="22">
        <f t="shared" si="153"/>
        <v>0.7</v>
      </c>
      <c r="I153" s="60"/>
      <c r="J153" s="21" t="s">
        <v>22</v>
      </c>
      <c r="K153" s="22">
        <f t="shared" si="130"/>
        <v>0.33333333333333331</v>
      </c>
      <c r="L153" s="22">
        <f t="shared" si="130"/>
        <v>0.7</v>
      </c>
      <c r="P153" s="24"/>
      <c r="Q153" s="24"/>
      <c r="R153" s="24"/>
      <c r="S153" s="24"/>
    </row>
    <row r="154" spans="1:19" x14ac:dyDescent="0.15">
      <c r="A154" s="60">
        <v>77</v>
      </c>
      <c r="B154" s="21" t="s">
        <v>21</v>
      </c>
      <c r="C154" s="21">
        <f>[64]PARS_nsy_stat!B154</f>
        <v>5</v>
      </c>
      <c r="D154" s="21">
        <f>[64]PARS_nsy_stat!C154</f>
        <v>4</v>
      </c>
      <c r="E154" s="22">
        <f t="shared" ref="E154:F154" si="154">C154/(C154+C155)</f>
        <v>0.41666666666666669</v>
      </c>
      <c r="F154" s="22">
        <f t="shared" si="154"/>
        <v>0.5714285714285714</v>
      </c>
      <c r="I154" s="60">
        <v>77</v>
      </c>
      <c r="J154" s="21" t="s">
        <v>21</v>
      </c>
      <c r="K154" s="22">
        <f t="shared" si="130"/>
        <v>0.41666666666666669</v>
      </c>
      <c r="L154" s="22">
        <f t="shared" si="130"/>
        <v>0.5714285714285714</v>
      </c>
      <c r="P154" s="24"/>
      <c r="Q154" s="24"/>
      <c r="R154" s="24"/>
      <c r="S154" s="24"/>
    </row>
    <row r="155" spans="1:19" x14ac:dyDescent="0.15">
      <c r="A155" s="60"/>
      <c r="B155" s="21" t="s">
        <v>22</v>
      </c>
      <c r="C155" s="21">
        <f>[64]PARS_nsy_stat!B155</f>
        <v>7</v>
      </c>
      <c r="D155" s="21">
        <f>[64]PARS_nsy_stat!C155</f>
        <v>3</v>
      </c>
      <c r="E155" s="22">
        <f t="shared" ref="E155:F155" si="155">C155/(C154+C155)</f>
        <v>0.58333333333333337</v>
      </c>
      <c r="F155" s="22">
        <f t="shared" si="155"/>
        <v>0.42857142857142855</v>
      </c>
      <c r="I155" s="60"/>
      <c r="J155" s="21" t="s">
        <v>22</v>
      </c>
      <c r="K155" s="22">
        <f t="shared" si="130"/>
        <v>0.58333333333333337</v>
      </c>
      <c r="L155" s="22">
        <f t="shared" si="130"/>
        <v>0.42857142857142855</v>
      </c>
      <c r="P155" s="24"/>
      <c r="Q155" s="24"/>
      <c r="R155" s="24"/>
      <c r="S155" s="24"/>
    </row>
    <row r="156" spans="1:19" x14ac:dyDescent="0.15">
      <c r="A156" s="60">
        <v>78</v>
      </c>
      <c r="B156" s="21" t="s">
        <v>21</v>
      </c>
      <c r="C156" s="21">
        <f>[64]PARS_nsy_stat!B156</f>
        <v>3</v>
      </c>
      <c r="D156" s="21">
        <f>[64]PARS_nsy_stat!C156</f>
        <v>9</v>
      </c>
      <c r="E156" s="22">
        <f t="shared" ref="E156:F156" si="156">C156/(C156+C157)</f>
        <v>0.6</v>
      </c>
      <c r="F156" s="22">
        <f t="shared" si="156"/>
        <v>0.6428571428571429</v>
      </c>
      <c r="I156" s="60">
        <v>78</v>
      </c>
      <c r="J156" s="21" t="s">
        <v>21</v>
      </c>
      <c r="K156" s="22">
        <f t="shared" si="130"/>
        <v>0.6</v>
      </c>
      <c r="L156" s="22">
        <f t="shared" si="130"/>
        <v>0.6428571428571429</v>
      </c>
      <c r="P156" s="24"/>
      <c r="Q156" s="24"/>
      <c r="R156" s="24"/>
      <c r="S156" s="24"/>
    </row>
    <row r="157" spans="1:19" x14ac:dyDescent="0.15">
      <c r="A157" s="60"/>
      <c r="B157" s="21" t="s">
        <v>22</v>
      </c>
      <c r="C157" s="21">
        <f>[64]PARS_nsy_stat!B157</f>
        <v>2</v>
      </c>
      <c r="D157" s="21">
        <f>[64]PARS_nsy_stat!C157</f>
        <v>5</v>
      </c>
      <c r="E157" s="22">
        <f t="shared" ref="E157:F157" si="157">C157/(C156+C157)</f>
        <v>0.4</v>
      </c>
      <c r="F157" s="22">
        <f t="shared" si="157"/>
        <v>0.35714285714285715</v>
      </c>
      <c r="I157" s="60"/>
      <c r="J157" s="21" t="s">
        <v>22</v>
      </c>
      <c r="K157" s="22">
        <f t="shared" si="130"/>
        <v>0.4</v>
      </c>
      <c r="L157" s="22">
        <f t="shared" si="130"/>
        <v>0.35714285714285715</v>
      </c>
      <c r="P157" s="24"/>
      <c r="Q157" s="24"/>
      <c r="R157" s="24"/>
      <c r="S157" s="24"/>
    </row>
    <row r="158" spans="1:19" x14ac:dyDescent="0.15">
      <c r="A158" s="60">
        <v>79</v>
      </c>
      <c r="B158" s="21" t="s">
        <v>21</v>
      </c>
      <c r="C158" s="21">
        <f>[64]PARS_nsy_stat!B158</f>
        <v>6</v>
      </c>
      <c r="D158" s="21">
        <f>[64]PARS_nsy_stat!C158</f>
        <v>3</v>
      </c>
      <c r="E158" s="22">
        <f t="shared" ref="E158:F158" si="158">C158/(C158+C159)</f>
        <v>0.8571428571428571</v>
      </c>
      <c r="F158" s="22">
        <f t="shared" si="158"/>
        <v>0.5</v>
      </c>
      <c r="I158" s="60">
        <v>79</v>
      </c>
      <c r="J158" s="21" t="s">
        <v>21</v>
      </c>
      <c r="K158" s="22">
        <f t="shared" si="130"/>
        <v>0.8571428571428571</v>
      </c>
      <c r="L158" s="22">
        <f t="shared" si="130"/>
        <v>0.5</v>
      </c>
      <c r="P158" s="24"/>
      <c r="Q158" s="24"/>
      <c r="R158" s="24"/>
      <c r="S158" s="24"/>
    </row>
    <row r="159" spans="1:19" x14ac:dyDescent="0.15">
      <c r="A159" s="60"/>
      <c r="B159" s="21" t="s">
        <v>22</v>
      </c>
      <c r="C159" s="21">
        <f>[64]PARS_nsy_stat!B159</f>
        <v>1</v>
      </c>
      <c r="D159" s="21">
        <f>[64]PARS_nsy_stat!C159</f>
        <v>3</v>
      </c>
      <c r="E159" s="22">
        <f t="shared" ref="E159:F159" si="159">C159/(C158+C159)</f>
        <v>0.14285714285714285</v>
      </c>
      <c r="F159" s="22">
        <f t="shared" si="159"/>
        <v>0.5</v>
      </c>
      <c r="I159" s="60"/>
      <c r="J159" s="21" t="s">
        <v>22</v>
      </c>
      <c r="K159" s="22">
        <f t="shared" si="130"/>
        <v>0.14285714285714285</v>
      </c>
      <c r="L159" s="22">
        <f t="shared" si="130"/>
        <v>0.5</v>
      </c>
      <c r="P159" s="24"/>
      <c r="Q159" s="24"/>
      <c r="R159" s="24"/>
      <c r="S159" s="24"/>
    </row>
    <row r="160" spans="1:19" x14ac:dyDescent="0.15">
      <c r="A160" s="60">
        <v>80</v>
      </c>
      <c r="B160" s="21" t="s">
        <v>21</v>
      </c>
      <c r="C160" s="21">
        <f>[64]PARS_nsy_stat!B160</f>
        <v>13</v>
      </c>
      <c r="D160" s="21">
        <f>[64]PARS_nsy_stat!C160</f>
        <v>6</v>
      </c>
      <c r="E160" s="22">
        <f t="shared" ref="E160:F160" si="160">C160/(C160+C161)</f>
        <v>0.72222222222222221</v>
      </c>
      <c r="F160" s="22">
        <f t="shared" si="160"/>
        <v>0.75</v>
      </c>
      <c r="I160" s="60">
        <v>80</v>
      </c>
      <c r="J160" s="21" t="s">
        <v>21</v>
      </c>
      <c r="K160" s="22">
        <f t="shared" si="130"/>
        <v>0.72222222222222221</v>
      </c>
      <c r="L160" s="22">
        <f t="shared" si="130"/>
        <v>0.75</v>
      </c>
      <c r="P160" s="24"/>
      <c r="Q160" s="24"/>
      <c r="R160" s="24"/>
      <c r="S160" s="24"/>
    </row>
    <row r="161" spans="1:19" x14ac:dyDescent="0.15">
      <c r="A161" s="60"/>
      <c r="B161" s="21" t="s">
        <v>22</v>
      </c>
      <c r="C161" s="21">
        <f>[64]PARS_nsy_stat!B161</f>
        <v>5</v>
      </c>
      <c r="D161" s="21">
        <f>[64]PARS_nsy_stat!C161</f>
        <v>2</v>
      </c>
      <c r="E161" s="22">
        <f t="shared" ref="E161:F161" si="161">C161/(C160+C161)</f>
        <v>0.27777777777777779</v>
      </c>
      <c r="F161" s="22">
        <f t="shared" si="161"/>
        <v>0.25</v>
      </c>
      <c r="I161" s="60"/>
      <c r="J161" s="21" t="s">
        <v>22</v>
      </c>
      <c r="K161" s="22">
        <f t="shared" si="130"/>
        <v>0.27777777777777779</v>
      </c>
      <c r="L161" s="22">
        <f t="shared" si="130"/>
        <v>0.25</v>
      </c>
      <c r="P161" s="24"/>
      <c r="Q161" s="24"/>
      <c r="R161" s="24"/>
      <c r="S161" s="24"/>
    </row>
    <row r="162" spans="1:19" x14ac:dyDescent="0.15">
      <c r="A162" s="60">
        <v>81</v>
      </c>
      <c r="B162" s="21" t="s">
        <v>21</v>
      </c>
      <c r="C162" s="21">
        <f>[64]PARS_nsy_stat!B162</f>
        <v>6</v>
      </c>
      <c r="D162" s="21">
        <f>[64]PARS_nsy_stat!C162</f>
        <v>3</v>
      </c>
      <c r="E162" s="22">
        <f t="shared" ref="E162:F162" si="162">C162/(C162+C163)</f>
        <v>0.75</v>
      </c>
      <c r="F162" s="22">
        <f t="shared" si="162"/>
        <v>0.6</v>
      </c>
      <c r="I162" s="60">
        <v>81</v>
      </c>
      <c r="J162" s="21" t="s">
        <v>21</v>
      </c>
      <c r="K162" s="22">
        <f t="shared" si="130"/>
        <v>0.75</v>
      </c>
      <c r="L162" s="22">
        <f t="shared" si="130"/>
        <v>0.6</v>
      </c>
      <c r="P162" s="24"/>
      <c r="Q162" s="24"/>
      <c r="R162" s="24"/>
      <c r="S162" s="24"/>
    </row>
    <row r="163" spans="1:19" x14ac:dyDescent="0.15">
      <c r="A163" s="60"/>
      <c r="B163" s="21" t="s">
        <v>22</v>
      </c>
      <c r="C163" s="21">
        <f>[64]PARS_nsy_stat!B163</f>
        <v>2</v>
      </c>
      <c r="D163" s="21">
        <f>[64]PARS_nsy_stat!C163</f>
        <v>2</v>
      </c>
      <c r="E163" s="22">
        <f t="shared" ref="E163:F163" si="163">C163/(C162+C163)</f>
        <v>0.25</v>
      </c>
      <c r="F163" s="22">
        <f t="shared" si="163"/>
        <v>0.4</v>
      </c>
      <c r="I163" s="60"/>
      <c r="J163" s="21" t="s">
        <v>22</v>
      </c>
      <c r="K163" s="22">
        <f t="shared" si="130"/>
        <v>0.25</v>
      </c>
      <c r="L163" s="22">
        <f t="shared" si="130"/>
        <v>0.4</v>
      </c>
      <c r="P163" s="24"/>
      <c r="Q163" s="24"/>
      <c r="R163" s="24"/>
      <c r="S163" s="24"/>
    </row>
    <row r="164" spans="1:19" x14ac:dyDescent="0.15">
      <c r="A164" s="60">
        <v>82</v>
      </c>
      <c r="B164" s="21" t="s">
        <v>21</v>
      </c>
      <c r="C164" s="21">
        <f>[64]PARS_nsy_stat!B164</f>
        <v>5</v>
      </c>
      <c r="D164" s="21">
        <f>[64]PARS_nsy_stat!C164</f>
        <v>5</v>
      </c>
      <c r="E164" s="22">
        <f t="shared" ref="E164:F164" si="164">C164/(C164+C165)</f>
        <v>0.625</v>
      </c>
      <c r="F164" s="22">
        <f t="shared" si="164"/>
        <v>0.625</v>
      </c>
      <c r="I164" s="60">
        <v>82</v>
      </c>
      <c r="J164" s="21" t="s">
        <v>21</v>
      </c>
      <c r="K164" s="22">
        <f t="shared" si="130"/>
        <v>0.625</v>
      </c>
      <c r="L164" s="22">
        <f t="shared" si="130"/>
        <v>0.625</v>
      </c>
      <c r="P164" s="24"/>
      <c r="Q164" s="24"/>
      <c r="R164" s="24"/>
      <c r="S164" s="24"/>
    </row>
    <row r="165" spans="1:19" x14ac:dyDescent="0.15">
      <c r="A165" s="60"/>
      <c r="B165" s="21" t="s">
        <v>22</v>
      </c>
      <c r="C165" s="21">
        <f>[64]PARS_nsy_stat!B165</f>
        <v>3</v>
      </c>
      <c r="D165" s="21">
        <f>[64]PARS_nsy_stat!C165</f>
        <v>3</v>
      </c>
      <c r="E165" s="22">
        <f t="shared" ref="E165:F165" si="165">C165/(C164+C165)</f>
        <v>0.375</v>
      </c>
      <c r="F165" s="22">
        <f t="shared" si="165"/>
        <v>0.375</v>
      </c>
      <c r="I165" s="60"/>
      <c r="J165" s="21" t="s">
        <v>22</v>
      </c>
      <c r="K165" s="22">
        <f t="shared" si="130"/>
        <v>0.375</v>
      </c>
      <c r="L165" s="22">
        <f t="shared" si="130"/>
        <v>0.375</v>
      </c>
      <c r="P165" s="24"/>
      <c r="Q165" s="24"/>
      <c r="R165" s="24"/>
      <c r="S165" s="24"/>
    </row>
    <row r="166" spans="1:19" x14ac:dyDescent="0.15">
      <c r="A166" s="60">
        <v>83</v>
      </c>
      <c r="B166" s="21" t="s">
        <v>21</v>
      </c>
      <c r="C166" s="21">
        <f>[64]PARS_nsy_stat!B166</f>
        <v>6</v>
      </c>
      <c r="D166" s="21">
        <f>[64]PARS_nsy_stat!C166</f>
        <v>5</v>
      </c>
      <c r="E166" s="22">
        <f t="shared" ref="E166:F166" si="166">C166/(C166+C167)</f>
        <v>0.8571428571428571</v>
      </c>
      <c r="F166" s="22">
        <f t="shared" si="166"/>
        <v>1</v>
      </c>
      <c r="I166" s="60">
        <v>83</v>
      </c>
      <c r="J166" s="21" t="s">
        <v>21</v>
      </c>
      <c r="K166" s="22">
        <f t="shared" si="130"/>
        <v>0.8571428571428571</v>
      </c>
      <c r="L166" s="22">
        <f t="shared" si="130"/>
        <v>1</v>
      </c>
      <c r="P166" s="24"/>
      <c r="Q166" s="24"/>
      <c r="R166" s="24"/>
      <c r="S166" s="24"/>
    </row>
    <row r="167" spans="1:19" x14ac:dyDescent="0.15">
      <c r="A167" s="60"/>
      <c r="B167" s="21" t="s">
        <v>22</v>
      </c>
      <c r="C167" s="21">
        <f>[64]PARS_nsy_stat!B167</f>
        <v>1</v>
      </c>
      <c r="D167" s="21">
        <f>[64]PARS_nsy_stat!C167</f>
        <v>0</v>
      </c>
      <c r="E167" s="22">
        <f t="shared" ref="E167:F167" si="167">C167/(C166+C167)</f>
        <v>0.14285714285714285</v>
      </c>
      <c r="F167" s="22">
        <f t="shared" si="167"/>
        <v>0</v>
      </c>
      <c r="I167" s="60"/>
      <c r="J167" s="21" t="s">
        <v>22</v>
      </c>
      <c r="K167" s="22">
        <f t="shared" si="130"/>
        <v>0.14285714285714285</v>
      </c>
      <c r="L167" s="22">
        <f t="shared" si="130"/>
        <v>0</v>
      </c>
      <c r="P167" s="24"/>
      <c r="Q167" s="24"/>
      <c r="R167" s="24"/>
      <c r="S167" s="24"/>
    </row>
    <row r="168" spans="1:19" x14ac:dyDescent="0.15">
      <c r="A168" s="60">
        <v>84</v>
      </c>
      <c r="B168" s="21" t="s">
        <v>21</v>
      </c>
      <c r="C168" s="21">
        <f>[64]PARS_nsy_stat!B168</f>
        <v>4</v>
      </c>
      <c r="D168" s="21">
        <f>[64]PARS_nsy_stat!C168</f>
        <v>4</v>
      </c>
      <c r="E168" s="22">
        <f t="shared" ref="E168:F168" si="168">C168/(C168+C169)</f>
        <v>0.8</v>
      </c>
      <c r="F168" s="22">
        <f t="shared" si="168"/>
        <v>0.66666666666666663</v>
      </c>
      <c r="I168" s="60">
        <v>84</v>
      </c>
      <c r="J168" s="21" t="s">
        <v>21</v>
      </c>
      <c r="K168" s="22">
        <f t="shared" si="130"/>
        <v>0.8</v>
      </c>
      <c r="L168" s="22">
        <f t="shared" si="130"/>
        <v>0.66666666666666663</v>
      </c>
      <c r="P168" s="24"/>
      <c r="Q168" s="24"/>
      <c r="R168" s="24"/>
      <c r="S168" s="24"/>
    </row>
    <row r="169" spans="1:19" x14ac:dyDescent="0.15">
      <c r="A169" s="60"/>
      <c r="B169" s="21" t="s">
        <v>22</v>
      </c>
      <c r="C169" s="21">
        <f>[64]PARS_nsy_stat!B169</f>
        <v>1</v>
      </c>
      <c r="D169" s="21">
        <f>[64]PARS_nsy_stat!C169</f>
        <v>2</v>
      </c>
      <c r="E169" s="22">
        <f t="shared" ref="E169:F169" si="169">C169/(C168+C169)</f>
        <v>0.2</v>
      </c>
      <c r="F169" s="22">
        <f t="shared" si="169"/>
        <v>0.33333333333333331</v>
      </c>
      <c r="I169" s="60"/>
      <c r="J169" s="21" t="s">
        <v>22</v>
      </c>
      <c r="K169" s="22">
        <f t="shared" si="130"/>
        <v>0.2</v>
      </c>
      <c r="L169" s="22">
        <f t="shared" si="130"/>
        <v>0.33333333333333331</v>
      </c>
      <c r="P169" s="24"/>
      <c r="Q169" s="24"/>
      <c r="R169" s="24"/>
      <c r="S169" s="24"/>
    </row>
    <row r="170" spans="1:19" x14ac:dyDescent="0.15">
      <c r="A170" s="60">
        <v>85</v>
      </c>
      <c r="B170" s="21" t="s">
        <v>21</v>
      </c>
      <c r="C170" s="21">
        <f>[64]PARS_nsy_stat!B170</f>
        <v>4</v>
      </c>
      <c r="D170" s="21">
        <f>[64]PARS_nsy_stat!C170</f>
        <v>0</v>
      </c>
      <c r="E170" s="22">
        <f t="shared" ref="E170:F170" si="170">C170/(C170+C171)</f>
        <v>0.8</v>
      </c>
      <c r="F170" s="22">
        <f t="shared" si="170"/>
        <v>0</v>
      </c>
      <c r="I170" s="60">
        <v>85</v>
      </c>
      <c r="J170" s="21" t="s">
        <v>21</v>
      </c>
      <c r="K170" s="22">
        <f t="shared" si="130"/>
        <v>0.8</v>
      </c>
      <c r="L170" s="22">
        <f t="shared" si="130"/>
        <v>0</v>
      </c>
      <c r="P170" s="24"/>
      <c r="Q170" s="24"/>
      <c r="R170" s="24"/>
      <c r="S170" s="24"/>
    </row>
    <row r="171" spans="1:19" x14ac:dyDescent="0.15">
      <c r="A171" s="60"/>
      <c r="B171" s="21" t="s">
        <v>22</v>
      </c>
      <c r="C171" s="21">
        <f>[64]PARS_nsy_stat!B171</f>
        <v>1</v>
      </c>
      <c r="D171" s="21">
        <f>[64]PARS_nsy_stat!C171</f>
        <v>3</v>
      </c>
      <c r="E171" s="22">
        <f t="shared" ref="E171:F171" si="171">C171/(C170+C171)</f>
        <v>0.2</v>
      </c>
      <c r="F171" s="22">
        <f t="shared" si="171"/>
        <v>1</v>
      </c>
      <c r="I171" s="60"/>
      <c r="J171" s="21" t="s">
        <v>22</v>
      </c>
      <c r="K171" s="22">
        <f t="shared" si="130"/>
        <v>0.2</v>
      </c>
      <c r="L171" s="22">
        <f t="shared" si="130"/>
        <v>1</v>
      </c>
      <c r="P171" s="24"/>
      <c r="Q171" s="24"/>
      <c r="R171" s="24"/>
      <c r="S171" s="24"/>
    </row>
    <row r="172" spans="1:19" x14ac:dyDescent="0.15">
      <c r="A172" s="60">
        <v>86</v>
      </c>
      <c r="B172" s="21" t="s">
        <v>21</v>
      </c>
      <c r="C172" s="21">
        <f>[64]PARS_nsy_stat!B172</f>
        <v>2</v>
      </c>
      <c r="D172" s="21">
        <f>[64]PARS_nsy_stat!C172</f>
        <v>3</v>
      </c>
      <c r="E172" s="22">
        <f t="shared" ref="E172:F172" si="172">C172/(C172+C173)</f>
        <v>0.33333333333333331</v>
      </c>
      <c r="F172" s="22">
        <f t="shared" si="172"/>
        <v>0.6</v>
      </c>
      <c r="I172" s="60">
        <v>86</v>
      </c>
      <c r="J172" s="21" t="s">
        <v>21</v>
      </c>
      <c r="K172" s="22">
        <f t="shared" si="130"/>
        <v>0.33333333333333331</v>
      </c>
      <c r="L172" s="22">
        <f t="shared" si="130"/>
        <v>0.6</v>
      </c>
      <c r="P172" s="24"/>
      <c r="Q172" s="24"/>
      <c r="R172" s="24"/>
      <c r="S172" s="24"/>
    </row>
    <row r="173" spans="1:19" x14ac:dyDescent="0.15">
      <c r="A173" s="60"/>
      <c r="B173" s="21" t="s">
        <v>22</v>
      </c>
      <c r="C173" s="21">
        <f>[64]PARS_nsy_stat!B173</f>
        <v>4</v>
      </c>
      <c r="D173" s="21">
        <f>[64]PARS_nsy_stat!C173</f>
        <v>2</v>
      </c>
      <c r="E173" s="22">
        <f t="shared" ref="E173:F173" si="173">C173/(C172+C173)</f>
        <v>0.66666666666666663</v>
      </c>
      <c r="F173" s="22">
        <f t="shared" si="173"/>
        <v>0.4</v>
      </c>
      <c r="I173" s="60"/>
      <c r="J173" s="21" t="s">
        <v>22</v>
      </c>
      <c r="K173" s="22">
        <f t="shared" si="130"/>
        <v>0.66666666666666663</v>
      </c>
      <c r="L173" s="22">
        <f t="shared" si="130"/>
        <v>0.4</v>
      </c>
      <c r="P173" s="24"/>
      <c r="Q173" s="24"/>
      <c r="R173" s="24"/>
      <c r="S173" s="24"/>
    </row>
    <row r="174" spans="1:19" x14ac:dyDescent="0.15">
      <c r="A174" s="60">
        <v>87</v>
      </c>
      <c r="B174" s="21" t="s">
        <v>21</v>
      </c>
      <c r="C174" s="21">
        <f>[64]PARS_nsy_stat!B174</f>
        <v>4</v>
      </c>
      <c r="D174" s="21">
        <f>[64]PARS_nsy_stat!C174</f>
        <v>2</v>
      </c>
      <c r="E174" s="22">
        <f t="shared" ref="E174:F174" si="174">C174/(C174+C175)</f>
        <v>0.5714285714285714</v>
      </c>
      <c r="F174" s="22">
        <f t="shared" si="174"/>
        <v>0.33333333333333331</v>
      </c>
      <c r="I174" s="60">
        <v>87</v>
      </c>
      <c r="J174" s="21" t="s">
        <v>21</v>
      </c>
      <c r="K174" s="22">
        <f t="shared" si="130"/>
        <v>0.5714285714285714</v>
      </c>
      <c r="L174" s="22">
        <f t="shared" si="130"/>
        <v>0.33333333333333331</v>
      </c>
      <c r="P174" s="24"/>
      <c r="Q174" s="24"/>
      <c r="R174" s="24"/>
      <c r="S174" s="24"/>
    </row>
    <row r="175" spans="1:19" x14ac:dyDescent="0.15">
      <c r="A175" s="60"/>
      <c r="B175" s="21" t="s">
        <v>22</v>
      </c>
      <c r="C175" s="21">
        <f>[64]PARS_nsy_stat!B175</f>
        <v>3</v>
      </c>
      <c r="D175" s="21">
        <f>[64]PARS_nsy_stat!C175</f>
        <v>4</v>
      </c>
      <c r="E175" s="22">
        <f t="shared" ref="E175:F175" si="175">C175/(C174+C175)</f>
        <v>0.42857142857142855</v>
      </c>
      <c r="F175" s="22">
        <f t="shared" si="175"/>
        <v>0.66666666666666663</v>
      </c>
      <c r="I175" s="60"/>
      <c r="J175" s="21" t="s">
        <v>22</v>
      </c>
      <c r="K175" s="22">
        <f t="shared" si="130"/>
        <v>0.42857142857142855</v>
      </c>
      <c r="L175" s="22">
        <f t="shared" si="130"/>
        <v>0.66666666666666663</v>
      </c>
      <c r="P175" s="24"/>
      <c r="Q175" s="24"/>
      <c r="R175" s="24"/>
      <c r="S175" s="24"/>
    </row>
    <row r="176" spans="1:19" x14ac:dyDescent="0.15">
      <c r="A176" s="60">
        <v>88</v>
      </c>
      <c r="B176" s="21" t="s">
        <v>21</v>
      </c>
      <c r="C176" s="21">
        <f>[64]PARS_nsy_stat!B176</f>
        <v>7</v>
      </c>
      <c r="D176" s="21">
        <f>[64]PARS_nsy_stat!C176</f>
        <v>4</v>
      </c>
      <c r="E176" s="22">
        <f t="shared" ref="E176:F176" si="176">C176/(C176+C177)</f>
        <v>1</v>
      </c>
      <c r="F176" s="22">
        <f t="shared" si="176"/>
        <v>0.5</v>
      </c>
      <c r="I176" s="60">
        <v>88</v>
      </c>
      <c r="J176" s="21" t="s">
        <v>21</v>
      </c>
      <c r="K176" s="22">
        <f t="shared" si="130"/>
        <v>1</v>
      </c>
      <c r="L176" s="22">
        <f t="shared" si="130"/>
        <v>0.5</v>
      </c>
      <c r="P176" s="24"/>
      <c r="Q176" s="24"/>
      <c r="R176" s="24"/>
      <c r="S176" s="24"/>
    </row>
    <row r="177" spans="1:19" x14ac:dyDescent="0.15">
      <c r="A177" s="60"/>
      <c r="B177" s="21" t="s">
        <v>22</v>
      </c>
      <c r="C177" s="21">
        <f>[64]PARS_nsy_stat!B177</f>
        <v>0</v>
      </c>
      <c r="D177" s="21">
        <f>[64]PARS_nsy_stat!C177</f>
        <v>4</v>
      </c>
      <c r="E177" s="22">
        <f t="shared" ref="E177:F177" si="177">C177/(C176+C177)</f>
        <v>0</v>
      </c>
      <c r="F177" s="22">
        <f t="shared" si="177"/>
        <v>0.5</v>
      </c>
      <c r="I177" s="60"/>
      <c r="J177" s="21" t="s">
        <v>22</v>
      </c>
      <c r="K177" s="22">
        <f t="shared" si="130"/>
        <v>0</v>
      </c>
      <c r="L177" s="22">
        <f t="shared" si="130"/>
        <v>0.5</v>
      </c>
      <c r="P177" s="24"/>
      <c r="Q177" s="24"/>
      <c r="R177" s="24"/>
      <c r="S177" s="24"/>
    </row>
    <row r="178" spans="1:19" x14ac:dyDescent="0.15">
      <c r="A178" s="60">
        <v>89</v>
      </c>
      <c r="B178" s="21" t="s">
        <v>21</v>
      </c>
      <c r="C178" s="21">
        <f>[64]PARS_nsy_stat!B178</f>
        <v>3</v>
      </c>
      <c r="D178" s="21">
        <f>[64]PARS_nsy_stat!C178</f>
        <v>6</v>
      </c>
      <c r="E178" s="22">
        <f t="shared" ref="E178:F178" si="178">C178/(C178+C179)</f>
        <v>0.75</v>
      </c>
      <c r="F178" s="22">
        <f t="shared" si="178"/>
        <v>0.75</v>
      </c>
      <c r="I178" s="60">
        <v>89</v>
      </c>
      <c r="J178" s="21" t="s">
        <v>21</v>
      </c>
      <c r="K178" s="22">
        <f t="shared" si="130"/>
        <v>0.75</v>
      </c>
      <c r="L178" s="22">
        <f t="shared" si="130"/>
        <v>0.75</v>
      </c>
      <c r="P178" s="24"/>
      <c r="Q178" s="24"/>
      <c r="R178" s="24"/>
      <c r="S178" s="24"/>
    </row>
    <row r="179" spans="1:19" x14ac:dyDescent="0.15">
      <c r="A179" s="60"/>
      <c r="B179" s="21" t="s">
        <v>22</v>
      </c>
      <c r="C179" s="21">
        <f>[64]PARS_nsy_stat!B179</f>
        <v>1</v>
      </c>
      <c r="D179" s="21">
        <f>[64]PARS_nsy_stat!C179</f>
        <v>2</v>
      </c>
      <c r="E179" s="22">
        <f t="shared" ref="E179:F179" si="179">C179/(C178+C179)</f>
        <v>0.25</v>
      </c>
      <c r="F179" s="22">
        <f t="shared" si="179"/>
        <v>0.25</v>
      </c>
      <c r="I179" s="60"/>
      <c r="J179" s="21" t="s">
        <v>22</v>
      </c>
      <c r="K179" s="22">
        <f t="shared" si="130"/>
        <v>0.25</v>
      </c>
      <c r="L179" s="22">
        <f t="shared" si="130"/>
        <v>0.25</v>
      </c>
      <c r="P179" s="24"/>
      <c r="Q179" s="24"/>
      <c r="R179" s="24"/>
      <c r="S179" s="24"/>
    </row>
    <row r="180" spans="1:19" x14ac:dyDescent="0.15">
      <c r="A180" s="60">
        <v>90</v>
      </c>
      <c r="B180" s="21" t="s">
        <v>21</v>
      </c>
      <c r="C180" s="21">
        <f>[64]PARS_nsy_stat!B180</f>
        <v>3</v>
      </c>
      <c r="D180" s="21">
        <f>[64]PARS_nsy_stat!C180</f>
        <v>6</v>
      </c>
      <c r="E180" s="22">
        <f t="shared" ref="E180:F180" si="180">C180/(C180+C181)</f>
        <v>0.5</v>
      </c>
      <c r="F180" s="22">
        <f t="shared" si="180"/>
        <v>0.75</v>
      </c>
      <c r="I180" s="60">
        <v>90</v>
      </c>
      <c r="J180" s="21" t="s">
        <v>21</v>
      </c>
      <c r="K180" s="22">
        <f t="shared" si="130"/>
        <v>0.5</v>
      </c>
      <c r="L180" s="22">
        <f t="shared" si="130"/>
        <v>0.75</v>
      </c>
      <c r="P180" s="24"/>
      <c r="Q180" s="24"/>
      <c r="R180" s="24"/>
      <c r="S180" s="24"/>
    </row>
    <row r="181" spans="1:19" x14ac:dyDescent="0.15">
      <c r="A181" s="60"/>
      <c r="B181" s="21" t="s">
        <v>22</v>
      </c>
      <c r="C181" s="21">
        <f>[64]PARS_nsy_stat!B181</f>
        <v>3</v>
      </c>
      <c r="D181" s="21">
        <f>[64]PARS_nsy_stat!C181</f>
        <v>2</v>
      </c>
      <c r="E181" s="22">
        <f t="shared" ref="E181:F181" si="181">C181/(C180+C181)</f>
        <v>0.5</v>
      </c>
      <c r="F181" s="22">
        <f t="shared" si="181"/>
        <v>0.25</v>
      </c>
      <c r="I181" s="60"/>
      <c r="J181" s="21" t="s">
        <v>22</v>
      </c>
      <c r="K181" s="22">
        <f t="shared" si="130"/>
        <v>0.5</v>
      </c>
      <c r="L181" s="22">
        <f t="shared" si="130"/>
        <v>0.25</v>
      </c>
      <c r="P181" s="24"/>
      <c r="Q181" s="24"/>
      <c r="R181" s="24"/>
      <c r="S181" s="24"/>
    </row>
    <row r="182" spans="1:19" x14ac:dyDescent="0.15">
      <c r="A182" s="60">
        <v>91</v>
      </c>
      <c r="B182" s="21" t="s">
        <v>21</v>
      </c>
      <c r="C182" s="21">
        <f>[64]PARS_nsy_stat!B182</f>
        <v>6</v>
      </c>
      <c r="D182" s="21">
        <f>[64]PARS_nsy_stat!C182</f>
        <v>3</v>
      </c>
      <c r="E182" s="22">
        <f t="shared" ref="E182:F182" si="182">C182/(C182+C183)</f>
        <v>0.66666666666666663</v>
      </c>
      <c r="F182" s="22">
        <f t="shared" si="182"/>
        <v>0.75</v>
      </c>
      <c r="I182" s="60">
        <v>91</v>
      </c>
      <c r="J182" s="21" t="s">
        <v>21</v>
      </c>
      <c r="K182" s="22">
        <f t="shared" si="130"/>
        <v>0.66666666666666663</v>
      </c>
      <c r="L182" s="22">
        <f t="shared" si="130"/>
        <v>0.75</v>
      </c>
      <c r="P182" s="24"/>
      <c r="Q182" s="24"/>
      <c r="R182" s="24"/>
      <c r="S182" s="24"/>
    </row>
    <row r="183" spans="1:19" x14ac:dyDescent="0.15">
      <c r="A183" s="60"/>
      <c r="B183" s="21" t="s">
        <v>22</v>
      </c>
      <c r="C183" s="21">
        <f>[64]PARS_nsy_stat!B183</f>
        <v>3</v>
      </c>
      <c r="D183" s="21">
        <f>[64]PARS_nsy_stat!C183</f>
        <v>1</v>
      </c>
      <c r="E183" s="22">
        <f t="shared" ref="E183:F183" si="183">C183/(C182+C183)</f>
        <v>0.33333333333333331</v>
      </c>
      <c r="F183" s="22">
        <f t="shared" si="183"/>
        <v>0.25</v>
      </c>
      <c r="I183" s="60"/>
      <c r="J183" s="21" t="s">
        <v>22</v>
      </c>
      <c r="K183" s="22">
        <f t="shared" si="130"/>
        <v>0.33333333333333331</v>
      </c>
      <c r="L183" s="22">
        <f t="shared" si="130"/>
        <v>0.25</v>
      </c>
      <c r="P183" s="24"/>
      <c r="Q183" s="24"/>
      <c r="R183" s="24"/>
      <c r="S183" s="24"/>
    </row>
    <row r="184" spans="1:19" x14ac:dyDescent="0.15">
      <c r="A184" s="60">
        <v>92</v>
      </c>
      <c r="B184" s="21" t="s">
        <v>21</v>
      </c>
      <c r="C184" s="21">
        <f>[64]PARS_nsy_stat!B184</f>
        <v>1</v>
      </c>
      <c r="D184" s="21">
        <f>[64]PARS_nsy_stat!C184</f>
        <v>4</v>
      </c>
      <c r="E184" s="22">
        <f t="shared" ref="E184:F184" si="184">C184/(C184+C185)</f>
        <v>1</v>
      </c>
      <c r="F184" s="22">
        <f t="shared" si="184"/>
        <v>0.8</v>
      </c>
      <c r="I184" s="60">
        <v>92</v>
      </c>
      <c r="J184" s="21" t="s">
        <v>21</v>
      </c>
      <c r="K184" s="22">
        <f t="shared" si="130"/>
        <v>1</v>
      </c>
      <c r="L184" s="22">
        <f t="shared" si="130"/>
        <v>0.8</v>
      </c>
      <c r="P184" s="24"/>
      <c r="Q184" s="24"/>
      <c r="R184" s="24"/>
      <c r="S184" s="24"/>
    </row>
    <row r="185" spans="1:19" x14ac:dyDescent="0.15">
      <c r="A185" s="60"/>
      <c r="B185" s="21" t="s">
        <v>22</v>
      </c>
      <c r="C185" s="21">
        <f>[64]PARS_nsy_stat!B185</f>
        <v>0</v>
      </c>
      <c r="D185" s="21">
        <f>[64]PARS_nsy_stat!C185</f>
        <v>1</v>
      </c>
      <c r="E185" s="22">
        <f t="shared" ref="E185:F185" si="185">C185/(C184+C185)</f>
        <v>0</v>
      </c>
      <c r="F185" s="22">
        <f t="shared" si="185"/>
        <v>0.2</v>
      </c>
      <c r="I185" s="60"/>
      <c r="J185" s="21" t="s">
        <v>22</v>
      </c>
      <c r="K185" s="22">
        <f t="shared" si="130"/>
        <v>0</v>
      </c>
      <c r="L185" s="22">
        <f t="shared" si="130"/>
        <v>0.2</v>
      </c>
      <c r="P185" s="24"/>
      <c r="Q185" s="24"/>
      <c r="R185" s="24"/>
      <c r="S185" s="24"/>
    </row>
    <row r="186" spans="1:19" x14ac:dyDescent="0.15">
      <c r="A186" s="60">
        <v>93</v>
      </c>
      <c r="B186" s="21" t="s">
        <v>21</v>
      </c>
      <c r="C186" s="21">
        <f>[64]PARS_nsy_stat!B186</f>
        <v>7</v>
      </c>
      <c r="D186" s="21">
        <f>[64]PARS_nsy_stat!C186</f>
        <v>9</v>
      </c>
      <c r="E186" s="22">
        <f t="shared" ref="E186:F186" si="186">C186/(C186+C187)</f>
        <v>0.7</v>
      </c>
      <c r="F186" s="22">
        <f t="shared" si="186"/>
        <v>0.9</v>
      </c>
      <c r="I186" s="60">
        <v>93</v>
      </c>
      <c r="J186" s="21" t="s">
        <v>21</v>
      </c>
      <c r="K186" s="22">
        <f t="shared" si="130"/>
        <v>0.7</v>
      </c>
      <c r="L186" s="22">
        <f t="shared" si="130"/>
        <v>0.9</v>
      </c>
      <c r="P186" s="24"/>
      <c r="Q186" s="24"/>
      <c r="R186" s="24"/>
      <c r="S186" s="24"/>
    </row>
    <row r="187" spans="1:19" x14ac:dyDescent="0.15">
      <c r="A187" s="60"/>
      <c r="B187" s="21" t="s">
        <v>22</v>
      </c>
      <c r="C187" s="21">
        <f>[64]PARS_nsy_stat!B187</f>
        <v>3</v>
      </c>
      <c r="D187" s="21">
        <f>[64]PARS_nsy_stat!C187</f>
        <v>1</v>
      </c>
      <c r="E187" s="22">
        <f t="shared" ref="E187:F187" si="187">C187/(C186+C187)</f>
        <v>0.3</v>
      </c>
      <c r="F187" s="22">
        <f t="shared" si="187"/>
        <v>0.1</v>
      </c>
      <c r="I187" s="60"/>
      <c r="J187" s="21" t="s">
        <v>22</v>
      </c>
      <c r="K187" s="22">
        <f t="shared" si="130"/>
        <v>0.3</v>
      </c>
      <c r="L187" s="22">
        <f t="shared" si="130"/>
        <v>0.1</v>
      </c>
      <c r="P187" s="24"/>
      <c r="Q187" s="24"/>
      <c r="R187" s="24"/>
      <c r="S187" s="24"/>
    </row>
    <row r="188" spans="1:19" x14ac:dyDescent="0.15">
      <c r="A188" s="60">
        <v>94</v>
      </c>
      <c r="B188" s="21" t="s">
        <v>21</v>
      </c>
      <c r="C188" s="21">
        <f>[64]PARS_nsy_stat!B188</f>
        <v>4</v>
      </c>
      <c r="D188" s="21">
        <f>[64]PARS_nsy_stat!C188</f>
        <v>6</v>
      </c>
      <c r="E188" s="22">
        <f t="shared" ref="E188:F188" si="188">C188/(C188+C189)</f>
        <v>0.66666666666666663</v>
      </c>
      <c r="F188" s="22">
        <f t="shared" si="188"/>
        <v>0.42857142857142855</v>
      </c>
      <c r="I188" s="60">
        <v>94</v>
      </c>
      <c r="J188" s="21" t="s">
        <v>21</v>
      </c>
      <c r="K188" s="22">
        <f t="shared" si="130"/>
        <v>0.66666666666666663</v>
      </c>
      <c r="L188" s="22">
        <f t="shared" si="130"/>
        <v>0.42857142857142855</v>
      </c>
      <c r="P188" s="24"/>
      <c r="Q188" s="24"/>
      <c r="R188" s="24"/>
      <c r="S188" s="24"/>
    </row>
    <row r="189" spans="1:19" x14ac:dyDescent="0.15">
      <c r="A189" s="60"/>
      <c r="B189" s="21" t="s">
        <v>22</v>
      </c>
      <c r="C189" s="21">
        <f>[64]PARS_nsy_stat!B189</f>
        <v>2</v>
      </c>
      <c r="D189" s="21">
        <f>[64]PARS_nsy_stat!C189</f>
        <v>8</v>
      </c>
      <c r="E189" s="22">
        <f t="shared" ref="E189:F189" si="189">C189/(C188+C189)</f>
        <v>0.33333333333333331</v>
      </c>
      <c r="F189" s="22">
        <f t="shared" si="189"/>
        <v>0.5714285714285714</v>
      </c>
      <c r="I189" s="60"/>
      <c r="J189" s="21" t="s">
        <v>22</v>
      </c>
      <c r="K189" s="22">
        <f t="shared" si="130"/>
        <v>0.33333333333333331</v>
      </c>
      <c r="L189" s="22">
        <f t="shared" si="130"/>
        <v>0.5714285714285714</v>
      </c>
      <c r="P189" s="24"/>
      <c r="Q189" s="24"/>
      <c r="R189" s="24"/>
      <c r="S189" s="24"/>
    </row>
    <row r="190" spans="1:19" x14ac:dyDescent="0.15">
      <c r="A190" s="60">
        <v>95</v>
      </c>
      <c r="B190" s="21" t="s">
        <v>21</v>
      </c>
      <c r="C190" s="21">
        <f>[64]PARS_nsy_stat!B190</f>
        <v>3</v>
      </c>
      <c r="D190" s="21">
        <f>[64]PARS_nsy_stat!C190</f>
        <v>7</v>
      </c>
      <c r="E190" s="22">
        <f t="shared" ref="E190:F190" si="190">C190/(C190+C191)</f>
        <v>0.42857142857142855</v>
      </c>
      <c r="F190" s="22">
        <f t="shared" si="190"/>
        <v>0.7</v>
      </c>
      <c r="I190" s="60">
        <v>95</v>
      </c>
      <c r="J190" s="21" t="s">
        <v>21</v>
      </c>
      <c r="K190" s="22">
        <f t="shared" si="130"/>
        <v>0.42857142857142855</v>
      </c>
      <c r="L190" s="22">
        <f t="shared" si="130"/>
        <v>0.7</v>
      </c>
      <c r="P190" s="24"/>
      <c r="Q190" s="24"/>
      <c r="R190" s="24"/>
      <c r="S190" s="24"/>
    </row>
    <row r="191" spans="1:19" x14ac:dyDescent="0.15">
      <c r="A191" s="60"/>
      <c r="B191" s="21" t="s">
        <v>22</v>
      </c>
      <c r="C191" s="21">
        <f>[64]PARS_nsy_stat!B191</f>
        <v>4</v>
      </c>
      <c r="D191" s="21">
        <f>[64]PARS_nsy_stat!C191</f>
        <v>3</v>
      </c>
      <c r="E191" s="22">
        <f t="shared" ref="E191:F191" si="191">C191/(C190+C191)</f>
        <v>0.5714285714285714</v>
      </c>
      <c r="F191" s="22">
        <f t="shared" si="191"/>
        <v>0.3</v>
      </c>
      <c r="I191" s="60"/>
      <c r="J191" s="21" t="s">
        <v>22</v>
      </c>
      <c r="K191" s="22">
        <f t="shared" si="130"/>
        <v>0.5714285714285714</v>
      </c>
      <c r="L191" s="22">
        <f t="shared" si="130"/>
        <v>0.3</v>
      </c>
      <c r="P191" s="24"/>
      <c r="Q191" s="24"/>
      <c r="R191" s="24"/>
      <c r="S191" s="24"/>
    </row>
    <row r="192" spans="1:19" x14ac:dyDescent="0.15">
      <c r="A192" s="60">
        <v>96</v>
      </c>
      <c r="B192" s="21" t="s">
        <v>21</v>
      </c>
      <c r="C192" s="21">
        <f>[64]PARS_nsy_stat!B192</f>
        <v>4</v>
      </c>
      <c r="D192" s="21">
        <f>[64]PARS_nsy_stat!C192</f>
        <v>3</v>
      </c>
      <c r="E192" s="22">
        <f t="shared" ref="E192:F192" si="192">C192/(C192+C193)</f>
        <v>0.5714285714285714</v>
      </c>
      <c r="F192" s="22">
        <f t="shared" si="192"/>
        <v>0.6</v>
      </c>
      <c r="I192" s="60">
        <v>96</v>
      </c>
      <c r="J192" s="21" t="s">
        <v>21</v>
      </c>
      <c r="K192" s="22">
        <f t="shared" si="130"/>
        <v>0.5714285714285714</v>
      </c>
      <c r="L192" s="22">
        <f t="shared" si="130"/>
        <v>0.6</v>
      </c>
      <c r="P192" s="24"/>
      <c r="Q192" s="24"/>
      <c r="R192" s="24"/>
      <c r="S192" s="24"/>
    </row>
    <row r="193" spans="1:19" x14ac:dyDescent="0.15">
      <c r="A193" s="60"/>
      <c r="B193" s="21" t="s">
        <v>22</v>
      </c>
      <c r="C193" s="21">
        <f>[64]PARS_nsy_stat!B193</f>
        <v>3</v>
      </c>
      <c r="D193" s="21">
        <f>[64]PARS_nsy_stat!C193</f>
        <v>2</v>
      </c>
      <c r="E193" s="22">
        <f t="shared" ref="E193:F193" si="193">C193/(C192+C193)</f>
        <v>0.42857142857142855</v>
      </c>
      <c r="F193" s="22">
        <f t="shared" si="193"/>
        <v>0.4</v>
      </c>
      <c r="I193" s="60"/>
      <c r="J193" s="21" t="s">
        <v>22</v>
      </c>
      <c r="K193" s="22">
        <f t="shared" si="130"/>
        <v>0.42857142857142855</v>
      </c>
      <c r="L193" s="22">
        <f t="shared" si="130"/>
        <v>0.4</v>
      </c>
      <c r="P193" s="24"/>
      <c r="Q193" s="24"/>
      <c r="R193" s="24"/>
      <c r="S193" s="24"/>
    </row>
    <row r="194" spans="1:19" x14ac:dyDescent="0.15">
      <c r="A194" s="60">
        <v>97</v>
      </c>
      <c r="B194" s="21" t="s">
        <v>21</v>
      </c>
      <c r="C194" s="21">
        <f>[64]PARS_nsy_stat!B194</f>
        <v>5</v>
      </c>
      <c r="D194" s="21">
        <f>[64]PARS_nsy_stat!C194</f>
        <v>6</v>
      </c>
      <c r="E194" s="22">
        <f t="shared" ref="E194:F194" si="194">C194/(C194+C195)</f>
        <v>0.625</v>
      </c>
      <c r="F194" s="22">
        <f t="shared" si="194"/>
        <v>0.54545454545454541</v>
      </c>
      <c r="I194" s="60">
        <v>97</v>
      </c>
      <c r="J194" s="21" t="s">
        <v>21</v>
      </c>
      <c r="K194" s="22">
        <f t="shared" ref="K194:L255" si="195">E194</f>
        <v>0.625</v>
      </c>
      <c r="L194" s="22">
        <f t="shared" si="195"/>
        <v>0.54545454545454541</v>
      </c>
      <c r="P194" s="24"/>
      <c r="Q194" s="24"/>
      <c r="R194" s="24"/>
      <c r="S194" s="24"/>
    </row>
    <row r="195" spans="1:19" x14ac:dyDescent="0.15">
      <c r="A195" s="60"/>
      <c r="B195" s="21" t="s">
        <v>22</v>
      </c>
      <c r="C195" s="21">
        <f>[64]PARS_nsy_stat!B195</f>
        <v>3</v>
      </c>
      <c r="D195" s="21">
        <f>[64]PARS_nsy_stat!C195</f>
        <v>5</v>
      </c>
      <c r="E195" s="22">
        <f t="shared" ref="E195:F195" si="196">C195/(C194+C195)</f>
        <v>0.375</v>
      </c>
      <c r="F195" s="22">
        <f t="shared" si="196"/>
        <v>0.45454545454545453</v>
      </c>
      <c r="I195" s="60"/>
      <c r="J195" s="21" t="s">
        <v>22</v>
      </c>
      <c r="K195" s="22">
        <f t="shared" si="195"/>
        <v>0.375</v>
      </c>
      <c r="L195" s="22">
        <f t="shared" si="195"/>
        <v>0.45454545454545453</v>
      </c>
      <c r="P195" s="24"/>
      <c r="Q195" s="24"/>
      <c r="R195" s="24"/>
      <c r="S195" s="24"/>
    </row>
    <row r="196" spans="1:19" x14ac:dyDescent="0.15">
      <c r="A196" s="60">
        <v>98</v>
      </c>
      <c r="B196" s="21" t="s">
        <v>21</v>
      </c>
      <c r="C196" s="21">
        <f>[64]PARS_nsy_stat!B196</f>
        <v>5</v>
      </c>
      <c r="D196" s="21">
        <f>[64]PARS_nsy_stat!C196</f>
        <v>3</v>
      </c>
      <c r="E196" s="22">
        <f t="shared" ref="E196:F196" si="197">C196/(C196+C197)</f>
        <v>0.5</v>
      </c>
      <c r="F196" s="22">
        <f t="shared" si="197"/>
        <v>0.6</v>
      </c>
      <c r="I196" s="60">
        <v>98</v>
      </c>
      <c r="J196" s="21" t="s">
        <v>21</v>
      </c>
      <c r="K196" s="22">
        <f t="shared" si="195"/>
        <v>0.5</v>
      </c>
      <c r="L196" s="22">
        <f t="shared" si="195"/>
        <v>0.6</v>
      </c>
      <c r="P196" s="24"/>
      <c r="Q196" s="24"/>
      <c r="R196" s="24"/>
      <c r="S196" s="24"/>
    </row>
    <row r="197" spans="1:19" x14ac:dyDescent="0.15">
      <c r="A197" s="60"/>
      <c r="B197" s="21" t="s">
        <v>22</v>
      </c>
      <c r="C197" s="21">
        <f>[64]PARS_nsy_stat!B197</f>
        <v>5</v>
      </c>
      <c r="D197" s="21">
        <f>[64]PARS_nsy_stat!C197</f>
        <v>2</v>
      </c>
      <c r="E197" s="22">
        <f t="shared" ref="E197:F197" si="198">C197/(C196+C197)</f>
        <v>0.5</v>
      </c>
      <c r="F197" s="22">
        <f t="shared" si="198"/>
        <v>0.4</v>
      </c>
      <c r="I197" s="60"/>
      <c r="J197" s="21" t="s">
        <v>22</v>
      </c>
      <c r="K197" s="22">
        <f t="shared" si="195"/>
        <v>0.5</v>
      </c>
      <c r="L197" s="22">
        <f t="shared" si="195"/>
        <v>0.4</v>
      </c>
      <c r="P197" s="24"/>
      <c r="Q197" s="24"/>
      <c r="R197" s="24"/>
      <c r="S197" s="24"/>
    </row>
    <row r="198" spans="1:19" x14ac:dyDescent="0.15">
      <c r="A198" s="60">
        <v>99</v>
      </c>
      <c r="B198" s="21" t="s">
        <v>21</v>
      </c>
      <c r="C198" s="21">
        <f>[64]PARS_nsy_stat!B198</f>
        <v>9</v>
      </c>
      <c r="D198" s="21">
        <f>[64]PARS_nsy_stat!C198</f>
        <v>2</v>
      </c>
      <c r="E198" s="22">
        <f t="shared" ref="E198:F198" si="199">C198/(C198+C199)</f>
        <v>0.9</v>
      </c>
      <c r="F198" s="22">
        <f t="shared" si="199"/>
        <v>0.5</v>
      </c>
      <c r="I198" s="60">
        <v>99</v>
      </c>
      <c r="J198" s="21" t="s">
        <v>21</v>
      </c>
      <c r="K198" s="22">
        <f t="shared" si="195"/>
        <v>0.9</v>
      </c>
      <c r="L198" s="22">
        <f t="shared" si="195"/>
        <v>0.5</v>
      </c>
      <c r="P198" s="24"/>
      <c r="Q198" s="24"/>
      <c r="R198" s="24"/>
      <c r="S198" s="24"/>
    </row>
    <row r="199" spans="1:19" x14ac:dyDescent="0.15">
      <c r="A199" s="60"/>
      <c r="B199" s="21" t="s">
        <v>22</v>
      </c>
      <c r="C199" s="21">
        <f>[64]PARS_nsy_stat!B199</f>
        <v>1</v>
      </c>
      <c r="D199" s="21">
        <f>[64]PARS_nsy_stat!C199</f>
        <v>2</v>
      </c>
      <c r="E199" s="22">
        <f t="shared" ref="E199:F199" si="200">C199/(C198+C199)</f>
        <v>0.1</v>
      </c>
      <c r="F199" s="22">
        <f t="shared" si="200"/>
        <v>0.5</v>
      </c>
      <c r="I199" s="60"/>
      <c r="J199" s="21" t="s">
        <v>22</v>
      </c>
      <c r="K199" s="22">
        <f t="shared" si="195"/>
        <v>0.1</v>
      </c>
      <c r="L199" s="22">
        <f t="shared" si="195"/>
        <v>0.5</v>
      </c>
      <c r="P199" s="24"/>
      <c r="Q199" s="24"/>
      <c r="R199" s="24"/>
      <c r="S199" s="24"/>
    </row>
    <row r="200" spans="1:19" x14ac:dyDescent="0.15">
      <c r="A200" s="60">
        <v>100</v>
      </c>
      <c r="B200" s="21" t="s">
        <v>21</v>
      </c>
      <c r="C200" s="21">
        <f>[64]PARS_nsy_stat!B200</f>
        <v>8</v>
      </c>
      <c r="D200" s="21">
        <f>[64]PARS_nsy_stat!C200</f>
        <v>3</v>
      </c>
      <c r="E200" s="22">
        <f t="shared" ref="E200:F200" si="201">C200/(C200+C201)</f>
        <v>0.66666666666666663</v>
      </c>
      <c r="F200" s="22">
        <f t="shared" si="201"/>
        <v>0.5</v>
      </c>
      <c r="I200" s="60">
        <v>100</v>
      </c>
      <c r="J200" s="21" t="s">
        <v>21</v>
      </c>
      <c r="K200" s="22">
        <f t="shared" si="195"/>
        <v>0.66666666666666663</v>
      </c>
      <c r="L200" s="22">
        <f t="shared" si="195"/>
        <v>0.5</v>
      </c>
      <c r="P200" s="24"/>
      <c r="Q200" s="24"/>
      <c r="R200" s="24"/>
      <c r="S200" s="24"/>
    </row>
    <row r="201" spans="1:19" x14ac:dyDescent="0.15">
      <c r="A201" s="60"/>
      <c r="B201" s="21" t="s">
        <v>22</v>
      </c>
      <c r="C201" s="21">
        <f>[64]PARS_nsy_stat!B201</f>
        <v>4</v>
      </c>
      <c r="D201" s="21">
        <f>[64]PARS_nsy_stat!C201</f>
        <v>3</v>
      </c>
      <c r="E201" s="22">
        <f t="shared" ref="E201:F201" si="202">C201/(C200+C201)</f>
        <v>0.33333333333333331</v>
      </c>
      <c r="F201" s="22">
        <f t="shared" si="202"/>
        <v>0.5</v>
      </c>
      <c r="I201" s="60"/>
      <c r="J201" s="21" t="s">
        <v>22</v>
      </c>
      <c r="K201" s="22">
        <f t="shared" si="195"/>
        <v>0.33333333333333331</v>
      </c>
      <c r="L201" s="22">
        <f t="shared" si="195"/>
        <v>0.5</v>
      </c>
      <c r="P201" s="24"/>
      <c r="Q201" s="24"/>
      <c r="R201" s="24"/>
      <c r="S201" s="24"/>
    </row>
    <row r="202" spans="1:19" x14ac:dyDescent="0.15">
      <c r="A202" s="60">
        <v>101</v>
      </c>
      <c r="B202" s="21" t="s">
        <v>21</v>
      </c>
      <c r="C202" s="21">
        <f>[64]PARS_nsy_stat!B202</f>
        <v>8</v>
      </c>
      <c r="D202" s="21">
        <f>[64]PARS_nsy_stat!C202</f>
        <v>8</v>
      </c>
      <c r="E202" s="22">
        <f t="shared" ref="E202:F202" si="203">C202/(C202+C203)</f>
        <v>0.72727272727272729</v>
      </c>
      <c r="F202" s="22">
        <f t="shared" si="203"/>
        <v>0.72727272727272729</v>
      </c>
      <c r="I202" s="60">
        <v>101</v>
      </c>
      <c r="J202" s="21" t="s">
        <v>21</v>
      </c>
      <c r="K202" s="22">
        <f t="shared" si="195"/>
        <v>0.72727272727272729</v>
      </c>
      <c r="L202" s="22">
        <f t="shared" si="195"/>
        <v>0.72727272727272729</v>
      </c>
      <c r="P202" s="24"/>
      <c r="Q202" s="24"/>
      <c r="R202" s="24"/>
      <c r="S202" s="24"/>
    </row>
    <row r="203" spans="1:19" x14ac:dyDescent="0.15">
      <c r="A203" s="60"/>
      <c r="B203" s="21" t="s">
        <v>22</v>
      </c>
      <c r="C203" s="21">
        <f>[64]PARS_nsy_stat!B203</f>
        <v>3</v>
      </c>
      <c r="D203" s="21">
        <f>[64]PARS_nsy_stat!C203</f>
        <v>3</v>
      </c>
      <c r="E203" s="22">
        <f t="shared" ref="E203:F203" si="204">C203/(C202+C203)</f>
        <v>0.27272727272727271</v>
      </c>
      <c r="F203" s="22">
        <f t="shared" si="204"/>
        <v>0.27272727272727271</v>
      </c>
      <c r="I203" s="60"/>
      <c r="J203" s="21" t="s">
        <v>22</v>
      </c>
      <c r="K203" s="22">
        <f t="shared" si="195"/>
        <v>0.27272727272727271</v>
      </c>
      <c r="L203" s="22">
        <f t="shared" si="195"/>
        <v>0.27272727272727271</v>
      </c>
      <c r="P203" s="24"/>
      <c r="Q203" s="24"/>
      <c r="R203" s="24"/>
      <c r="S203" s="24"/>
    </row>
    <row r="204" spans="1:19" x14ac:dyDescent="0.15">
      <c r="A204" s="60">
        <v>102</v>
      </c>
      <c r="B204" s="21" t="s">
        <v>21</v>
      </c>
      <c r="C204" s="21">
        <f>[64]PARS_nsy_stat!B204</f>
        <v>5</v>
      </c>
      <c r="D204" s="21">
        <f>[64]PARS_nsy_stat!C204</f>
        <v>6</v>
      </c>
      <c r="E204" s="22">
        <f t="shared" ref="E204:F204" si="205">C204/(C204+C205)</f>
        <v>0.83333333333333337</v>
      </c>
      <c r="F204" s="22">
        <f t="shared" si="205"/>
        <v>0.6</v>
      </c>
      <c r="I204" s="60">
        <v>102</v>
      </c>
      <c r="J204" s="21" t="s">
        <v>21</v>
      </c>
      <c r="K204" s="22">
        <f t="shared" si="195"/>
        <v>0.83333333333333337</v>
      </c>
      <c r="L204" s="22">
        <f t="shared" si="195"/>
        <v>0.6</v>
      </c>
      <c r="P204" s="24"/>
      <c r="Q204" s="24"/>
      <c r="R204" s="24"/>
      <c r="S204" s="24"/>
    </row>
    <row r="205" spans="1:19" x14ac:dyDescent="0.15">
      <c r="A205" s="60"/>
      <c r="B205" s="21" t="s">
        <v>22</v>
      </c>
      <c r="C205" s="21">
        <f>[64]PARS_nsy_stat!B205</f>
        <v>1</v>
      </c>
      <c r="D205" s="21">
        <f>[64]PARS_nsy_stat!C205</f>
        <v>4</v>
      </c>
      <c r="E205" s="22">
        <f t="shared" ref="E205:F205" si="206">C205/(C204+C205)</f>
        <v>0.16666666666666666</v>
      </c>
      <c r="F205" s="22">
        <f t="shared" si="206"/>
        <v>0.4</v>
      </c>
      <c r="I205" s="60"/>
      <c r="J205" s="21" t="s">
        <v>22</v>
      </c>
      <c r="K205" s="22">
        <f t="shared" si="195"/>
        <v>0.16666666666666666</v>
      </c>
      <c r="L205" s="22">
        <f t="shared" si="195"/>
        <v>0.4</v>
      </c>
      <c r="P205" s="24"/>
      <c r="Q205" s="24"/>
      <c r="R205" s="24"/>
      <c r="S205" s="24"/>
    </row>
    <row r="206" spans="1:19" x14ac:dyDescent="0.15">
      <c r="A206" s="60">
        <v>103</v>
      </c>
      <c r="B206" s="21" t="s">
        <v>21</v>
      </c>
      <c r="C206" s="21">
        <f>[64]PARS_nsy_stat!B206</f>
        <v>11</v>
      </c>
      <c r="D206" s="21">
        <f>[64]PARS_nsy_stat!C206</f>
        <v>6</v>
      </c>
      <c r="E206" s="22">
        <f t="shared" ref="E206:F206" si="207">C206/(C206+C207)</f>
        <v>0.73333333333333328</v>
      </c>
      <c r="F206" s="22">
        <f t="shared" si="207"/>
        <v>0.6</v>
      </c>
      <c r="I206" s="60">
        <v>103</v>
      </c>
      <c r="J206" s="21" t="s">
        <v>21</v>
      </c>
      <c r="K206" s="22">
        <f t="shared" si="195"/>
        <v>0.73333333333333328</v>
      </c>
      <c r="L206" s="22">
        <f t="shared" si="195"/>
        <v>0.6</v>
      </c>
      <c r="P206" s="24"/>
      <c r="Q206" s="24"/>
      <c r="R206" s="24"/>
      <c r="S206" s="24"/>
    </row>
    <row r="207" spans="1:19" x14ac:dyDescent="0.15">
      <c r="A207" s="60"/>
      <c r="B207" s="21" t="s">
        <v>22</v>
      </c>
      <c r="C207" s="21">
        <f>[64]PARS_nsy_stat!B207</f>
        <v>4</v>
      </c>
      <c r="D207" s="21">
        <f>[64]PARS_nsy_stat!C207</f>
        <v>4</v>
      </c>
      <c r="E207" s="22">
        <f t="shared" ref="E207:F207" si="208">C207/(C206+C207)</f>
        <v>0.26666666666666666</v>
      </c>
      <c r="F207" s="22">
        <f t="shared" si="208"/>
        <v>0.4</v>
      </c>
      <c r="I207" s="60"/>
      <c r="J207" s="21" t="s">
        <v>22</v>
      </c>
      <c r="K207" s="22">
        <f t="shared" si="195"/>
        <v>0.26666666666666666</v>
      </c>
      <c r="L207" s="22">
        <f t="shared" si="195"/>
        <v>0.4</v>
      </c>
      <c r="P207" s="24"/>
      <c r="Q207" s="24"/>
      <c r="R207" s="24"/>
      <c r="S207" s="24"/>
    </row>
    <row r="208" spans="1:19" x14ac:dyDescent="0.15">
      <c r="A208" s="60">
        <v>104</v>
      </c>
      <c r="B208" s="21" t="s">
        <v>21</v>
      </c>
      <c r="C208" s="21">
        <f>[64]PARS_nsy_stat!B208</f>
        <v>5</v>
      </c>
      <c r="D208" s="21">
        <f>[64]PARS_nsy_stat!C208</f>
        <v>7</v>
      </c>
      <c r="E208" s="22">
        <f t="shared" ref="E208:F208" si="209">C208/(C208+C209)</f>
        <v>0.41666666666666669</v>
      </c>
      <c r="F208" s="22">
        <f t="shared" si="209"/>
        <v>0.5</v>
      </c>
      <c r="I208" s="60">
        <v>104</v>
      </c>
      <c r="J208" s="21" t="s">
        <v>21</v>
      </c>
      <c r="K208" s="22">
        <f t="shared" si="195"/>
        <v>0.41666666666666669</v>
      </c>
      <c r="L208" s="22">
        <f t="shared" si="195"/>
        <v>0.5</v>
      </c>
      <c r="P208" s="24"/>
      <c r="Q208" s="24"/>
      <c r="R208" s="24"/>
      <c r="S208" s="24"/>
    </row>
    <row r="209" spans="1:19" x14ac:dyDescent="0.15">
      <c r="A209" s="60"/>
      <c r="B209" s="21" t="s">
        <v>22</v>
      </c>
      <c r="C209" s="21">
        <f>[64]PARS_nsy_stat!B209</f>
        <v>7</v>
      </c>
      <c r="D209" s="21">
        <f>[64]PARS_nsy_stat!C209</f>
        <v>7</v>
      </c>
      <c r="E209" s="22">
        <f t="shared" ref="E209:F209" si="210">C209/(C208+C209)</f>
        <v>0.58333333333333337</v>
      </c>
      <c r="F209" s="22">
        <f t="shared" si="210"/>
        <v>0.5</v>
      </c>
      <c r="I209" s="60"/>
      <c r="J209" s="21" t="s">
        <v>22</v>
      </c>
      <c r="K209" s="22">
        <f t="shared" si="195"/>
        <v>0.58333333333333337</v>
      </c>
      <c r="L209" s="22">
        <f t="shared" si="195"/>
        <v>0.5</v>
      </c>
      <c r="P209" s="24"/>
      <c r="Q209" s="24"/>
      <c r="R209" s="24"/>
      <c r="S209" s="24"/>
    </row>
    <row r="210" spans="1:19" x14ac:dyDescent="0.15">
      <c r="A210" s="60">
        <v>105</v>
      </c>
      <c r="B210" s="21" t="s">
        <v>21</v>
      </c>
      <c r="C210" s="21">
        <f>[64]PARS_nsy_stat!B210</f>
        <v>5</v>
      </c>
      <c r="D210" s="21">
        <f>[64]PARS_nsy_stat!C210</f>
        <v>1</v>
      </c>
      <c r="E210" s="22">
        <f t="shared" ref="E210:F210" si="211">C210/(C210+C211)</f>
        <v>0.7142857142857143</v>
      </c>
      <c r="F210" s="22">
        <f t="shared" si="211"/>
        <v>0.33333333333333331</v>
      </c>
      <c r="I210" s="60">
        <v>105</v>
      </c>
      <c r="J210" s="21" t="s">
        <v>21</v>
      </c>
      <c r="K210" s="22">
        <f t="shared" si="195"/>
        <v>0.7142857142857143</v>
      </c>
      <c r="L210" s="22">
        <f t="shared" si="195"/>
        <v>0.33333333333333331</v>
      </c>
      <c r="P210" s="24"/>
      <c r="Q210" s="24"/>
      <c r="R210" s="24"/>
      <c r="S210" s="24"/>
    </row>
    <row r="211" spans="1:19" x14ac:dyDescent="0.15">
      <c r="A211" s="60"/>
      <c r="B211" s="21" t="s">
        <v>22</v>
      </c>
      <c r="C211" s="21">
        <f>[64]PARS_nsy_stat!B211</f>
        <v>2</v>
      </c>
      <c r="D211" s="21">
        <f>[64]PARS_nsy_stat!C211</f>
        <v>2</v>
      </c>
      <c r="E211" s="22">
        <f t="shared" ref="E211:F211" si="212">C211/(C210+C211)</f>
        <v>0.2857142857142857</v>
      </c>
      <c r="F211" s="22">
        <f t="shared" si="212"/>
        <v>0.66666666666666663</v>
      </c>
      <c r="I211" s="60"/>
      <c r="J211" s="21" t="s">
        <v>22</v>
      </c>
      <c r="K211" s="22">
        <f t="shared" si="195"/>
        <v>0.2857142857142857</v>
      </c>
      <c r="L211" s="22">
        <f t="shared" si="195"/>
        <v>0.66666666666666663</v>
      </c>
      <c r="P211" s="24"/>
      <c r="Q211" s="24"/>
      <c r="R211" s="24"/>
      <c r="S211" s="24"/>
    </row>
    <row r="212" spans="1:19" x14ac:dyDescent="0.15">
      <c r="A212" s="60">
        <v>106</v>
      </c>
      <c r="B212" s="21" t="s">
        <v>21</v>
      </c>
      <c r="C212" s="21">
        <f>[64]PARS_nsy_stat!B212</f>
        <v>5</v>
      </c>
      <c r="D212" s="21">
        <f>[64]PARS_nsy_stat!C212</f>
        <v>2</v>
      </c>
      <c r="E212" s="22">
        <f t="shared" ref="E212:F212" si="213">C212/(C212+C213)</f>
        <v>0.83333333333333337</v>
      </c>
      <c r="F212" s="22">
        <f t="shared" si="213"/>
        <v>0.25</v>
      </c>
      <c r="I212" s="60">
        <v>106</v>
      </c>
      <c r="J212" s="21" t="s">
        <v>21</v>
      </c>
      <c r="K212" s="22">
        <f t="shared" si="195"/>
        <v>0.83333333333333337</v>
      </c>
      <c r="L212" s="22">
        <f t="shared" si="195"/>
        <v>0.25</v>
      </c>
      <c r="P212" s="24"/>
      <c r="Q212" s="24"/>
      <c r="R212" s="24"/>
      <c r="S212" s="24"/>
    </row>
    <row r="213" spans="1:19" x14ac:dyDescent="0.15">
      <c r="A213" s="60"/>
      <c r="B213" s="21" t="s">
        <v>22</v>
      </c>
      <c r="C213" s="21">
        <f>[64]PARS_nsy_stat!B213</f>
        <v>1</v>
      </c>
      <c r="D213" s="21">
        <f>[64]PARS_nsy_stat!C213</f>
        <v>6</v>
      </c>
      <c r="E213" s="22">
        <f t="shared" ref="E213:F213" si="214">C213/(C212+C213)</f>
        <v>0.16666666666666666</v>
      </c>
      <c r="F213" s="22">
        <f t="shared" si="214"/>
        <v>0.75</v>
      </c>
      <c r="I213" s="60"/>
      <c r="J213" s="21" t="s">
        <v>22</v>
      </c>
      <c r="K213" s="22">
        <f t="shared" si="195"/>
        <v>0.16666666666666666</v>
      </c>
      <c r="L213" s="22">
        <f t="shared" si="195"/>
        <v>0.75</v>
      </c>
      <c r="P213" s="24"/>
      <c r="Q213" s="24"/>
      <c r="R213" s="24"/>
      <c r="S213" s="24"/>
    </row>
    <row r="214" spans="1:19" x14ac:dyDescent="0.15">
      <c r="A214" s="60">
        <v>107</v>
      </c>
      <c r="B214" s="21" t="s">
        <v>21</v>
      </c>
      <c r="C214" s="21">
        <f>[64]PARS_nsy_stat!B214</f>
        <v>3</v>
      </c>
      <c r="D214" s="21">
        <f>[64]PARS_nsy_stat!C214</f>
        <v>2</v>
      </c>
      <c r="E214" s="22">
        <f t="shared" ref="E214:F214" si="215">C214/(C214+C215)</f>
        <v>0.42857142857142855</v>
      </c>
      <c r="F214" s="22">
        <f t="shared" si="215"/>
        <v>0.4</v>
      </c>
      <c r="I214" s="60">
        <v>107</v>
      </c>
      <c r="J214" s="21" t="s">
        <v>21</v>
      </c>
      <c r="K214" s="22">
        <f t="shared" si="195"/>
        <v>0.42857142857142855</v>
      </c>
      <c r="L214" s="22">
        <f t="shared" si="195"/>
        <v>0.4</v>
      </c>
      <c r="P214" s="24"/>
      <c r="Q214" s="24"/>
      <c r="R214" s="24"/>
      <c r="S214" s="24"/>
    </row>
    <row r="215" spans="1:19" x14ac:dyDescent="0.15">
      <c r="A215" s="60"/>
      <c r="B215" s="21" t="s">
        <v>22</v>
      </c>
      <c r="C215" s="21">
        <f>[64]PARS_nsy_stat!B215</f>
        <v>4</v>
      </c>
      <c r="D215" s="21">
        <f>[64]PARS_nsy_stat!C215</f>
        <v>3</v>
      </c>
      <c r="E215" s="22">
        <f t="shared" ref="E215:F215" si="216">C215/(C214+C215)</f>
        <v>0.5714285714285714</v>
      </c>
      <c r="F215" s="22">
        <f t="shared" si="216"/>
        <v>0.6</v>
      </c>
      <c r="I215" s="60"/>
      <c r="J215" s="21" t="s">
        <v>22</v>
      </c>
      <c r="K215" s="22">
        <f t="shared" si="195"/>
        <v>0.5714285714285714</v>
      </c>
      <c r="L215" s="22">
        <f t="shared" si="195"/>
        <v>0.6</v>
      </c>
      <c r="P215" s="24"/>
      <c r="Q215" s="24"/>
      <c r="R215" s="24"/>
      <c r="S215" s="24"/>
    </row>
    <row r="216" spans="1:19" x14ac:dyDescent="0.15">
      <c r="A216" s="60">
        <v>108</v>
      </c>
      <c r="B216" s="21" t="s">
        <v>21</v>
      </c>
      <c r="C216" s="21">
        <f>[64]PARS_nsy_stat!B216</f>
        <v>5</v>
      </c>
      <c r="D216" s="21">
        <f>[64]PARS_nsy_stat!C216</f>
        <v>6</v>
      </c>
      <c r="E216" s="22">
        <f t="shared" ref="E216:F216" si="217">C216/(C216+C217)</f>
        <v>0.5</v>
      </c>
      <c r="F216" s="22">
        <f t="shared" si="217"/>
        <v>0.6</v>
      </c>
      <c r="I216" s="60">
        <v>108</v>
      </c>
      <c r="J216" s="21" t="s">
        <v>21</v>
      </c>
      <c r="K216" s="22">
        <f t="shared" si="195"/>
        <v>0.5</v>
      </c>
      <c r="L216" s="22">
        <f t="shared" si="195"/>
        <v>0.6</v>
      </c>
      <c r="P216" s="24"/>
      <c r="Q216" s="24"/>
      <c r="R216" s="24"/>
      <c r="S216" s="24"/>
    </row>
    <row r="217" spans="1:19" x14ac:dyDescent="0.15">
      <c r="A217" s="60"/>
      <c r="B217" s="21" t="s">
        <v>22</v>
      </c>
      <c r="C217" s="21">
        <f>[64]PARS_nsy_stat!B217</f>
        <v>5</v>
      </c>
      <c r="D217" s="21">
        <f>[64]PARS_nsy_stat!C217</f>
        <v>4</v>
      </c>
      <c r="E217" s="22">
        <f t="shared" ref="E217:F217" si="218">C217/(C216+C217)</f>
        <v>0.5</v>
      </c>
      <c r="F217" s="22">
        <f t="shared" si="218"/>
        <v>0.4</v>
      </c>
      <c r="I217" s="60"/>
      <c r="J217" s="21" t="s">
        <v>22</v>
      </c>
      <c r="K217" s="22">
        <f t="shared" si="195"/>
        <v>0.5</v>
      </c>
      <c r="L217" s="22">
        <f t="shared" si="195"/>
        <v>0.4</v>
      </c>
      <c r="P217" s="24"/>
      <c r="Q217" s="24"/>
      <c r="R217" s="24"/>
      <c r="S217" s="24"/>
    </row>
    <row r="218" spans="1:19" x14ac:dyDescent="0.15">
      <c r="A218" s="60">
        <v>109</v>
      </c>
      <c r="B218" s="21" t="s">
        <v>21</v>
      </c>
      <c r="C218" s="21">
        <f>[64]PARS_nsy_stat!B218</f>
        <v>6</v>
      </c>
      <c r="D218" s="21">
        <f>[64]PARS_nsy_stat!C218</f>
        <v>7</v>
      </c>
      <c r="E218" s="22">
        <f t="shared" ref="E218:F218" si="219">C218/(C218+C219)</f>
        <v>0.75</v>
      </c>
      <c r="F218" s="22">
        <f t="shared" si="219"/>
        <v>0.63636363636363635</v>
      </c>
      <c r="I218" s="60">
        <v>109</v>
      </c>
      <c r="J218" s="21" t="s">
        <v>21</v>
      </c>
      <c r="K218" s="22">
        <f t="shared" si="195"/>
        <v>0.75</v>
      </c>
      <c r="L218" s="22">
        <f t="shared" si="195"/>
        <v>0.63636363636363635</v>
      </c>
      <c r="P218" s="24"/>
      <c r="Q218" s="24"/>
      <c r="R218" s="24"/>
      <c r="S218" s="24"/>
    </row>
    <row r="219" spans="1:19" x14ac:dyDescent="0.15">
      <c r="A219" s="60"/>
      <c r="B219" s="21" t="s">
        <v>22</v>
      </c>
      <c r="C219" s="21">
        <f>[64]PARS_nsy_stat!B219</f>
        <v>2</v>
      </c>
      <c r="D219" s="21">
        <f>[64]PARS_nsy_stat!C219</f>
        <v>4</v>
      </c>
      <c r="E219" s="22">
        <f t="shared" ref="E219:F219" si="220">C219/(C218+C219)</f>
        <v>0.25</v>
      </c>
      <c r="F219" s="22">
        <f t="shared" si="220"/>
        <v>0.36363636363636365</v>
      </c>
      <c r="I219" s="60"/>
      <c r="J219" s="21" t="s">
        <v>22</v>
      </c>
      <c r="K219" s="22">
        <f t="shared" si="195"/>
        <v>0.25</v>
      </c>
      <c r="L219" s="22">
        <f t="shared" si="195"/>
        <v>0.36363636363636365</v>
      </c>
      <c r="P219" s="24"/>
      <c r="Q219" s="24"/>
      <c r="R219" s="24"/>
      <c r="S219" s="24"/>
    </row>
    <row r="220" spans="1:19" x14ac:dyDescent="0.15">
      <c r="A220" s="60">
        <v>110</v>
      </c>
      <c r="B220" s="21" t="s">
        <v>21</v>
      </c>
      <c r="C220" s="21">
        <f>[64]PARS_nsy_stat!B220</f>
        <v>7</v>
      </c>
      <c r="D220" s="21">
        <f>[64]PARS_nsy_stat!C220</f>
        <v>5</v>
      </c>
      <c r="E220" s="22">
        <f t="shared" ref="E220:F220" si="221">C220/(C220+C221)</f>
        <v>0.5</v>
      </c>
      <c r="F220" s="22">
        <f t="shared" si="221"/>
        <v>0.625</v>
      </c>
      <c r="I220" s="60">
        <v>110</v>
      </c>
      <c r="J220" s="21" t="s">
        <v>21</v>
      </c>
      <c r="K220" s="22">
        <f t="shared" si="195"/>
        <v>0.5</v>
      </c>
      <c r="L220" s="22">
        <f t="shared" si="195"/>
        <v>0.625</v>
      </c>
      <c r="P220" s="24"/>
      <c r="Q220" s="24"/>
      <c r="R220" s="24"/>
      <c r="S220" s="24"/>
    </row>
    <row r="221" spans="1:19" x14ac:dyDescent="0.15">
      <c r="A221" s="60"/>
      <c r="B221" s="21" t="s">
        <v>22</v>
      </c>
      <c r="C221" s="21">
        <f>[64]PARS_nsy_stat!B221</f>
        <v>7</v>
      </c>
      <c r="D221" s="21">
        <f>[64]PARS_nsy_stat!C221</f>
        <v>3</v>
      </c>
      <c r="E221" s="22">
        <f t="shared" ref="E221:F221" si="222">C221/(C220+C221)</f>
        <v>0.5</v>
      </c>
      <c r="F221" s="22">
        <f t="shared" si="222"/>
        <v>0.375</v>
      </c>
      <c r="I221" s="60"/>
      <c r="J221" s="21" t="s">
        <v>22</v>
      </c>
      <c r="K221" s="22">
        <f t="shared" si="195"/>
        <v>0.5</v>
      </c>
      <c r="L221" s="22">
        <f t="shared" si="195"/>
        <v>0.375</v>
      </c>
      <c r="P221" s="24"/>
      <c r="Q221" s="24"/>
      <c r="R221" s="24"/>
      <c r="S221" s="24"/>
    </row>
    <row r="222" spans="1:19" x14ac:dyDescent="0.15">
      <c r="A222" s="60">
        <v>111</v>
      </c>
      <c r="B222" s="21" t="s">
        <v>21</v>
      </c>
      <c r="C222" s="21">
        <f>[64]PARS_nsy_stat!B222</f>
        <v>5</v>
      </c>
      <c r="D222" s="21">
        <f>[64]PARS_nsy_stat!C222</f>
        <v>4</v>
      </c>
      <c r="E222" s="22">
        <f t="shared" ref="E222:F222" si="223">C222/(C222+C223)</f>
        <v>0.83333333333333337</v>
      </c>
      <c r="F222" s="22">
        <f t="shared" si="223"/>
        <v>0.44444444444444442</v>
      </c>
      <c r="I222" s="60">
        <v>111</v>
      </c>
      <c r="J222" s="21" t="s">
        <v>21</v>
      </c>
      <c r="K222" s="22">
        <f t="shared" si="195"/>
        <v>0.83333333333333337</v>
      </c>
      <c r="L222" s="22">
        <f t="shared" si="195"/>
        <v>0.44444444444444442</v>
      </c>
      <c r="P222" s="24"/>
      <c r="Q222" s="24"/>
      <c r="R222" s="24"/>
      <c r="S222" s="24"/>
    </row>
    <row r="223" spans="1:19" x14ac:dyDescent="0.15">
      <c r="A223" s="60"/>
      <c r="B223" s="21" t="s">
        <v>22</v>
      </c>
      <c r="C223" s="21">
        <f>[64]PARS_nsy_stat!B223</f>
        <v>1</v>
      </c>
      <c r="D223" s="21">
        <f>[64]PARS_nsy_stat!C223</f>
        <v>5</v>
      </c>
      <c r="E223" s="22">
        <f t="shared" ref="E223:F223" si="224">C223/(C222+C223)</f>
        <v>0.16666666666666666</v>
      </c>
      <c r="F223" s="22">
        <f t="shared" si="224"/>
        <v>0.55555555555555558</v>
      </c>
      <c r="I223" s="60"/>
      <c r="J223" s="21" t="s">
        <v>22</v>
      </c>
      <c r="K223" s="22">
        <f t="shared" si="195"/>
        <v>0.16666666666666666</v>
      </c>
      <c r="L223" s="22">
        <f t="shared" si="195"/>
        <v>0.55555555555555558</v>
      </c>
      <c r="P223" s="24"/>
      <c r="Q223" s="24"/>
      <c r="R223" s="24"/>
      <c r="S223" s="24"/>
    </row>
    <row r="224" spans="1:19" x14ac:dyDescent="0.15">
      <c r="A224" s="60">
        <v>112</v>
      </c>
      <c r="B224" s="21" t="s">
        <v>21</v>
      </c>
      <c r="C224" s="21">
        <f>[64]PARS_nsy_stat!B224</f>
        <v>6</v>
      </c>
      <c r="D224" s="21">
        <f>[64]PARS_nsy_stat!C224</f>
        <v>2</v>
      </c>
      <c r="E224" s="22">
        <f t="shared" ref="E224:F224" si="225">C224/(C224+C225)</f>
        <v>0.66666666666666663</v>
      </c>
      <c r="F224" s="22">
        <f t="shared" si="225"/>
        <v>0.25</v>
      </c>
      <c r="I224" s="60">
        <v>112</v>
      </c>
      <c r="J224" s="21" t="s">
        <v>21</v>
      </c>
      <c r="K224" s="22">
        <f t="shared" si="195"/>
        <v>0.66666666666666663</v>
      </c>
      <c r="L224" s="22">
        <f t="shared" si="195"/>
        <v>0.25</v>
      </c>
      <c r="P224" s="24"/>
      <c r="Q224" s="24"/>
      <c r="R224" s="24"/>
      <c r="S224" s="24"/>
    </row>
    <row r="225" spans="1:19" x14ac:dyDescent="0.15">
      <c r="A225" s="60"/>
      <c r="B225" s="21" t="s">
        <v>22</v>
      </c>
      <c r="C225" s="21">
        <f>[64]PARS_nsy_stat!B225</f>
        <v>3</v>
      </c>
      <c r="D225" s="21">
        <f>[64]PARS_nsy_stat!C225</f>
        <v>6</v>
      </c>
      <c r="E225" s="22">
        <f t="shared" ref="E225:F225" si="226">C225/(C224+C225)</f>
        <v>0.33333333333333331</v>
      </c>
      <c r="F225" s="22">
        <f t="shared" si="226"/>
        <v>0.75</v>
      </c>
      <c r="I225" s="60"/>
      <c r="J225" s="21" t="s">
        <v>22</v>
      </c>
      <c r="K225" s="22">
        <f t="shared" si="195"/>
        <v>0.33333333333333331</v>
      </c>
      <c r="L225" s="22">
        <f t="shared" si="195"/>
        <v>0.75</v>
      </c>
      <c r="P225" s="24"/>
      <c r="Q225" s="24"/>
      <c r="R225" s="24"/>
      <c r="S225" s="24"/>
    </row>
    <row r="226" spans="1:19" x14ac:dyDescent="0.15">
      <c r="A226" s="60">
        <v>113</v>
      </c>
      <c r="B226" s="21" t="s">
        <v>21</v>
      </c>
      <c r="C226" s="21">
        <f>[64]PARS_nsy_stat!B226</f>
        <v>4</v>
      </c>
      <c r="D226" s="21">
        <f>[64]PARS_nsy_stat!C226</f>
        <v>7</v>
      </c>
      <c r="E226" s="22">
        <f t="shared" ref="E226:F226" si="227">C226/(C226+C227)</f>
        <v>0.44444444444444442</v>
      </c>
      <c r="F226" s="22">
        <f t="shared" si="227"/>
        <v>0.7</v>
      </c>
      <c r="I226" s="60">
        <v>113</v>
      </c>
      <c r="J226" s="21" t="s">
        <v>21</v>
      </c>
      <c r="K226" s="22">
        <f t="shared" si="195"/>
        <v>0.44444444444444442</v>
      </c>
      <c r="L226" s="22">
        <f t="shared" si="195"/>
        <v>0.7</v>
      </c>
      <c r="P226" s="24"/>
      <c r="Q226" s="24"/>
      <c r="R226" s="24"/>
      <c r="S226" s="24"/>
    </row>
    <row r="227" spans="1:19" x14ac:dyDescent="0.15">
      <c r="A227" s="60"/>
      <c r="B227" s="21" t="s">
        <v>22</v>
      </c>
      <c r="C227" s="21">
        <f>[64]PARS_nsy_stat!B227</f>
        <v>5</v>
      </c>
      <c r="D227" s="21">
        <f>[64]PARS_nsy_stat!C227</f>
        <v>3</v>
      </c>
      <c r="E227" s="22">
        <f t="shared" ref="E227:F227" si="228">C227/(C226+C227)</f>
        <v>0.55555555555555558</v>
      </c>
      <c r="F227" s="22">
        <f t="shared" si="228"/>
        <v>0.3</v>
      </c>
      <c r="I227" s="60"/>
      <c r="J227" s="21" t="s">
        <v>22</v>
      </c>
      <c r="K227" s="22">
        <f t="shared" si="195"/>
        <v>0.55555555555555558</v>
      </c>
      <c r="L227" s="22">
        <f t="shared" si="195"/>
        <v>0.3</v>
      </c>
      <c r="P227" s="24"/>
      <c r="Q227" s="24"/>
      <c r="R227" s="24"/>
      <c r="S227" s="24"/>
    </row>
    <row r="228" spans="1:19" x14ac:dyDescent="0.15">
      <c r="A228" s="60">
        <v>114</v>
      </c>
      <c r="B228" s="21" t="s">
        <v>21</v>
      </c>
      <c r="C228" s="21">
        <f>[64]PARS_nsy_stat!B228</f>
        <v>8</v>
      </c>
      <c r="D228" s="21">
        <f>[64]PARS_nsy_stat!C228</f>
        <v>5</v>
      </c>
      <c r="E228" s="22">
        <f t="shared" ref="E228:F228" si="229">C228/(C228+C229)</f>
        <v>0.44444444444444442</v>
      </c>
      <c r="F228" s="22">
        <f t="shared" si="229"/>
        <v>0.45454545454545453</v>
      </c>
      <c r="I228" s="60">
        <v>114</v>
      </c>
      <c r="J228" s="21" t="s">
        <v>21</v>
      </c>
      <c r="K228" s="22">
        <f t="shared" si="195"/>
        <v>0.44444444444444442</v>
      </c>
      <c r="L228" s="22">
        <f t="shared" si="195"/>
        <v>0.45454545454545453</v>
      </c>
      <c r="P228" s="24"/>
      <c r="Q228" s="24"/>
      <c r="R228" s="24"/>
      <c r="S228" s="24"/>
    </row>
    <row r="229" spans="1:19" x14ac:dyDescent="0.15">
      <c r="A229" s="60"/>
      <c r="B229" s="21" t="s">
        <v>22</v>
      </c>
      <c r="C229" s="21">
        <f>[64]PARS_nsy_stat!B229</f>
        <v>10</v>
      </c>
      <c r="D229" s="21">
        <f>[64]PARS_nsy_stat!C229</f>
        <v>6</v>
      </c>
      <c r="E229" s="22">
        <f t="shared" ref="E229:F229" si="230">C229/(C228+C229)</f>
        <v>0.55555555555555558</v>
      </c>
      <c r="F229" s="22">
        <f t="shared" si="230"/>
        <v>0.54545454545454541</v>
      </c>
      <c r="I229" s="60"/>
      <c r="J229" s="21" t="s">
        <v>22</v>
      </c>
      <c r="K229" s="22">
        <f t="shared" si="195"/>
        <v>0.55555555555555558</v>
      </c>
      <c r="L229" s="22">
        <f t="shared" si="195"/>
        <v>0.54545454545454541</v>
      </c>
      <c r="P229" s="24"/>
      <c r="Q229" s="24"/>
      <c r="R229" s="24"/>
      <c r="S229" s="24"/>
    </row>
    <row r="230" spans="1:19" x14ac:dyDescent="0.15">
      <c r="A230" s="60">
        <v>115</v>
      </c>
      <c r="B230" s="21" t="s">
        <v>21</v>
      </c>
      <c r="C230" s="21">
        <f>[64]PARS_nsy_stat!B230</f>
        <v>10</v>
      </c>
      <c r="D230" s="21">
        <f>[64]PARS_nsy_stat!C230</f>
        <v>5</v>
      </c>
      <c r="E230" s="22">
        <f t="shared" ref="E230:F230" si="231">C230/(C230+C231)</f>
        <v>0.76923076923076927</v>
      </c>
      <c r="F230" s="22">
        <f t="shared" si="231"/>
        <v>0.625</v>
      </c>
      <c r="I230" s="60">
        <v>115</v>
      </c>
      <c r="J230" s="21" t="s">
        <v>21</v>
      </c>
      <c r="K230" s="22">
        <f t="shared" si="195"/>
        <v>0.76923076923076927</v>
      </c>
      <c r="L230" s="22">
        <f t="shared" si="195"/>
        <v>0.625</v>
      </c>
      <c r="P230" s="24"/>
      <c r="Q230" s="24"/>
      <c r="R230" s="24"/>
      <c r="S230" s="24"/>
    </row>
    <row r="231" spans="1:19" x14ac:dyDescent="0.15">
      <c r="A231" s="60"/>
      <c r="B231" s="21" t="s">
        <v>22</v>
      </c>
      <c r="C231" s="21">
        <f>[64]PARS_nsy_stat!B231</f>
        <v>3</v>
      </c>
      <c r="D231" s="21">
        <f>[64]PARS_nsy_stat!C231</f>
        <v>3</v>
      </c>
      <c r="E231" s="22">
        <f t="shared" ref="E231:F231" si="232">C231/(C230+C231)</f>
        <v>0.23076923076923078</v>
      </c>
      <c r="F231" s="22">
        <f t="shared" si="232"/>
        <v>0.375</v>
      </c>
      <c r="I231" s="60"/>
      <c r="J231" s="21" t="s">
        <v>22</v>
      </c>
      <c r="K231" s="22">
        <f t="shared" si="195"/>
        <v>0.23076923076923078</v>
      </c>
      <c r="L231" s="22">
        <f t="shared" si="195"/>
        <v>0.375</v>
      </c>
      <c r="P231" s="24"/>
      <c r="Q231" s="24"/>
      <c r="R231" s="24"/>
      <c r="S231" s="24"/>
    </row>
    <row r="232" spans="1:19" x14ac:dyDescent="0.15">
      <c r="A232" s="60">
        <v>116</v>
      </c>
      <c r="B232" s="21" t="s">
        <v>21</v>
      </c>
      <c r="C232" s="21">
        <f>[64]PARS_nsy_stat!B232</f>
        <v>3</v>
      </c>
      <c r="D232" s="21">
        <f>[64]PARS_nsy_stat!C232</f>
        <v>6</v>
      </c>
      <c r="E232" s="22">
        <f t="shared" ref="E232:F232" si="233">C232/(C232+C233)</f>
        <v>0.42857142857142855</v>
      </c>
      <c r="F232" s="22">
        <f t="shared" si="233"/>
        <v>0.8571428571428571</v>
      </c>
      <c r="I232" s="60">
        <v>116</v>
      </c>
      <c r="J232" s="21" t="s">
        <v>21</v>
      </c>
      <c r="K232" s="22">
        <f t="shared" si="195"/>
        <v>0.42857142857142855</v>
      </c>
      <c r="L232" s="22">
        <f t="shared" si="195"/>
        <v>0.8571428571428571</v>
      </c>
      <c r="P232" s="24"/>
      <c r="Q232" s="24"/>
      <c r="R232" s="24"/>
      <c r="S232" s="24"/>
    </row>
    <row r="233" spans="1:19" x14ac:dyDescent="0.15">
      <c r="A233" s="60"/>
      <c r="B233" s="21" t="s">
        <v>22</v>
      </c>
      <c r="C233" s="21">
        <f>[64]PARS_nsy_stat!B233</f>
        <v>4</v>
      </c>
      <c r="D233" s="21">
        <f>[64]PARS_nsy_stat!C233</f>
        <v>1</v>
      </c>
      <c r="E233" s="22">
        <f t="shared" ref="E233:F233" si="234">C233/(C232+C233)</f>
        <v>0.5714285714285714</v>
      </c>
      <c r="F233" s="22">
        <f t="shared" si="234"/>
        <v>0.14285714285714285</v>
      </c>
      <c r="I233" s="60"/>
      <c r="J233" s="21" t="s">
        <v>22</v>
      </c>
      <c r="K233" s="22">
        <f t="shared" si="195"/>
        <v>0.5714285714285714</v>
      </c>
      <c r="L233" s="22">
        <f t="shared" si="195"/>
        <v>0.14285714285714285</v>
      </c>
      <c r="P233" s="24"/>
      <c r="Q233" s="24"/>
      <c r="R233" s="24"/>
      <c r="S233" s="24"/>
    </row>
    <row r="234" spans="1:19" x14ac:dyDescent="0.15">
      <c r="A234" s="60">
        <v>117</v>
      </c>
      <c r="B234" s="21" t="s">
        <v>21</v>
      </c>
      <c r="C234" s="21">
        <f>[64]PARS_nsy_stat!B234</f>
        <v>5</v>
      </c>
      <c r="D234" s="21">
        <f>[64]PARS_nsy_stat!C234</f>
        <v>6</v>
      </c>
      <c r="E234" s="22">
        <f t="shared" ref="E234:F234" si="235">C234/(C234+C235)</f>
        <v>0.55555555555555558</v>
      </c>
      <c r="F234" s="22">
        <f t="shared" si="235"/>
        <v>0.66666666666666663</v>
      </c>
      <c r="I234" s="60">
        <v>117</v>
      </c>
      <c r="J234" s="21" t="s">
        <v>21</v>
      </c>
      <c r="K234" s="22">
        <f t="shared" si="195"/>
        <v>0.55555555555555558</v>
      </c>
      <c r="L234" s="22">
        <f t="shared" si="195"/>
        <v>0.66666666666666663</v>
      </c>
      <c r="P234" s="24"/>
      <c r="Q234" s="24"/>
      <c r="R234" s="24"/>
      <c r="S234" s="24"/>
    </row>
    <row r="235" spans="1:19" x14ac:dyDescent="0.15">
      <c r="A235" s="60"/>
      <c r="B235" s="21" t="s">
        <v>22</v>
      </c>
      <c r="C235" s="21">
        <f>[64]PARS_nsy_stat!B235</f>
        <v>4</v>
      </c>
      <c r="D235" s="21">
        <f>[64]PARS_nsy_stat!C235</f>
        <v>3</v>
      </c>
      <c r="E235" s="22">
        <f t="shared" ref="E235:F235" si="236">C235/(C234+C235)</f>
        <v>0.44444444444444442</v>
      </c>
      <c r="F235" s="22">
        <f t="shared" si="236"/>
        <v>0.33333333333333331</v>
      </c>
      <c r="I235" s="60"/>
      <c r="J235" s="21" t="s">
        <v>22</v>
      </c>
      <c r="K235" s="22">
        <f t="shared" si="195"/>
        <v>0.44444444444444442</v>
      </c>
      <c r="L235" s="22">
        <f t="shared" si="195"/>
        <v>0.33333333333333331</v>
      </c>
      <c r="P235" s="24"/>
      <c r="Q235" s="24"/>
      <c r="R235" s="24"/>
      <c r="S235" s="24"/>
    </row>
    <row r="236" spans="1:19" x14ac:dyDescent="0.15">
      <c r="A236" s="60">
        <v>118</v>
      </c>
      <c r="B236" s="21" t="s">
        <v>21</v>
      </c>
      <c r="C236" s="21">
        <f>[64]PARS_nsy_stat!B236</f>
        <v>6</v>
      </c>
      <c r="D236" s="21">
        <f>[64]PARS_nsy_stat!C236</f>
        <v>6</v>
      </c>
      <c r="E236" s="22">
        <f t="shared" ref="E236:F236" si="237">C236/(C236+C237)</f>
        <v>0.5</v>
      </c>
      <c r="F236" s="22">
        <f t="shared" si="237"/>
        <v>0.6</v>
      </c>
      <c r="I236" s="60">
        <v>118</v>
      </c>
      <c r="J236" s="21" t="s">
        <v>21</v>
      </c>
      <c r="K236" s="22">
        <f t="shared" si="195"/>
        <v>0.5</v>
      </c>
      <c r="L236" s="22">
        <f t="shared" si="195"/>
        <v>0.6</v>
      </c>
      <c r="P236" s="24"/>
      <c r="Q236" s="24"/>
      <c r="R236" s="24"/>
      <c r="S236" s="24"/>
    </row>
    <row r="237" spans="1:19" x14ac:dyDescent="0.15">
      <c r="A237" s="60"/>
      <c r="B237" s="21" t="s">
        <v>22</v>
      </c>
      <c r="C237" s="21">
        <f>[64]PARS_nsy_stat!B237</f>
        <v>6</v>
      </c>
      <c r="D237" s="21">
        <f>[64]PARS_nsy_stat!C237</f>
        <v>4</v>
      </c>
      <c r="E237" s="22">
        <f t="shared" ref="E237:F237" si="238">C237/(C236+C237)</f>
        <v>0.5</v>
      </c>
      <c r="F237" s="22">
        <f t="shared" si="238"/>
        <v>0.4</v>
      </c>
      <c r="I237" s="60"/>
      <c r="J237" s="21" t="s">
        <v>22</v>
      </c>
      <c r="K237" s="22">
        <f t="shared" si="195"/>
        <v>0.5</v>
      </c>
      <c r="L237" s="22">
        <f t="shared" si="195"/>
        <v>0.4</v>
      </c>
      <c r="P237" s="24"/>
      <c r="Q237" s="24"/>
      <c r="R237" s="24"/>
      <c r="S237" s="24"/>
    </row>
    <row r="238" spans="1:19" x14ac:dyDescent="0.15">
      <c r="A238" s="60">
        <v>119</v>
      </c>
      <c r="B238" s="21" t="s">
        <v>21</v>
      </c>
      <c r="C238" s="21">
        <f>[64]PARS_nsy_stat!B238</f>
        <v>11</v>
      </c>
      <c r="D238" s="21">
        <f>[64]PARS_nsy_stat!C238</f>
        <v>6</v>
      </c>
      <c r="E238" s="22">
        <f t="shared" ref="E238:F238" si="239">C238/(C238+C239)</f>
        <v>0.6470588235294118</v>
      </c>
      <c r="F238" s="22">
        <f t="shared" si="239"/>
        <v>0.5</v>
      </c>
      <c r="I238" s="60">
        <v>119</v>
      </c>
      <c r="J238" s="21" t="s">
        <v>21</v>
      </c>
      <c r="K238" s="22">
        <f t="shared" si="195"/>
        <v>0.6470588235294118</v>
      </c>
      <c r="L238" s="22">
        <f t="shared" si="195"/>
        <v>0.5</v>
      </c>
      <c r="P238" s="24"/>
      <c r="Q238" s="24"/>
      <c r="R238" s="24"/>
      <c r="S238" s="24"/>
    </row>
    <row r="239" spans="1:19" x14ac:dyDescent="0.15">
      <c r="A239" s="60"/>
      <c r="B239" s="21" t="s">
        <v>22</v>
      </c>
      <c r="C239" s="21">
        <f>[64]PARS_nsy_stat!B239</f>
        <v>6</v>
      </c>
      <c r="D239" s="21">
        <f>[64]PARS_nsy_stat!C239</f>
        <v>6</v>
      </c>
      <c r="E239" s="22">
        <f t="shared" ref="E239:F239" si="240">C239/(C238+C239)</f>
        <v>0.35294117647058826</v>
      </c>
      <c r="F239" s="22">
        <f t="shared" si="240"/>
        <v>0.5</v>
      </c>
      <c r="I239" s="60"/>
      <c r="J239" s="21" t="s">
        <v>22</v>
      </c>
      <c r="K239" s="22">
        <f t="shared" si="195"/>
        <v>0.35294117647058826</v>
      </c>
      <c r="L239" s="22">
        <f t="shared" si="195"/>
        <v>0.5</v>
      </c>
      <c r="P239" s="24"/>
      <c r="Q239" s="24"/>
      <c r="R239" s="24"/>
      <c r="S239" s="24"/>
    </row>
    <row r="240" spans="1:19" x14ac:dyDescent="0.15">
      <c r="A240" s="60">
        <v>120</v>
      </c>
      <c r="B240" s="21" t="s">
        <v>21</v>
      </c>
      <c r="C240" s="21">
        <f>[64]PARS_nsy_stat!B240</f>
        <v>8</v>
      </c>
      <c r="D240" s="21">
        <f>[64]PARS_nsy_stat!C240</f>
        <v>1</v>
      </c>
      <c r="E240" s="22">
        <f t="shared" ref="E240:F240" si="241">C240/(C240+C241)</f>
        <v>0.61538461538461542</v>
      </c>
      <c r="F240" s="22">
        <f t="shared" si="241"/>
        <v>0.25</v>
      </c>
      <c r="I240" s="60">
        <v>120</v>
      </c>
      <c r="J240" s="21" t="s">
        <v>21</v>
      </c>
      <c r="K240" s="22">
        <f t="shared" si="195"/>
        <v>0.61538461538461542</v>
      </c>
      <c r="L240" s="22">
        <f t="shared" si="195"/>
        <v>0.25</v>
      </c>
      <c r="P240" s="24"/>
      <c r="Q240" s="24"/>
      <c r="R240" s="24"/>
      <c r="S240" s="24"/>
    </row>
    <row r="241" spans="1:19" x14ac:dyDescent="0.15">
      <c r="A241" s="60"/>
      <c r="B241" s="21" t="s">
        <v>22</v>
      </c>
      <c r="C241" s="21">
        <f>[64]PARS_nsy_stat!B241</f>
        <v>5</v>
      </c>
      <c r="D241" s="21">
        <f>[64]PARS_nsy_stat!C241</f>
        <v>3</v>
      </c>
      <c r="E241" s="22">
        <f t="shared" ref="E241:F241" si="242">C241/(C240+C241)</f>
        <v>0.38461538461538464</v>
      </c>
      <c r="F241" s="22">
        <f t="shared" si="242"/>
        <v>0.75</v>
      </c>
      <c r="I241" s="60"/>
      <c r="J241" s="21" t="s">
        <v>22</v>
      </c>
      <c r="K241" s="22">
        <f t="shared" si="195"/>
        <v>0.38461538461538464</v>
      </c>
      <c r="L241" s="22">
        <f t="shared" si="195"/>
        <v>0.75</v>
      </c>
      <c r="P241" s="24"/>
      <c r="Q241" s="24"/>
      <c r="R241" s="24"/>
      <c r="S241" s="24"/>
    </row>
    <row r="242" spans="1:19" x14ac:dyDescent="0.15">
      <c r="A242" s="60">
        <v>121</v>
      </c>
      <c r="B242" s="21" t="s">
        <v>21</v>
      </c>
      <c r="C242" s="21">
        <f>[64]PARS_nsy_stat!B242</f>
        <v>7</v>
      </c>
      <c r="D242" s="21">
        <f>[64]PARS_nsy_stat!C242</f>
        <v>5</v>
      </c>
      <c r="E242" s="22">
        <f t="shared" ref="E242:F242" si="243">C242/(C242+C243)</f>
        <v>0.7</v>
      </c>
      <c r="F242" s="22">
        <f t="shared" si="243"/>
        <v>0.625</v>
      </c>
      <c r="I242" s="60">
        <v>121</v>
      </c>
      <c r="J242" s="21" t="s">
        <v>21</v>
      </c>
      <c r="K242" s="22">
        <f t="shared" si="195"/>
        <v>0.7</v>
      </c>
      <c r="L242" s="22">
        <f t="shared" si="195"/>
        <v>0.625</v>
      </c>
      <c r="P242" s="24"/>
      <c r="Q242" s="24"/>
      <c r="R242" s="24"/>
      <c r="S242" s="24"/>
    </row>
    <row r="243" spans="1:19" x14ac:dyDescent="0.15">
      <c r="A243" s="60"/>
      <c r="B243" s="21" t="s">
        <v>22</v>
      </c>
      <c r="C243" s="21">
        <f>[64]PARS_nsy_stat!B243</f>
        <v>3</v>
      </c>
      <c r="D243" s="21">
        <f>[64]PARS_nsy_stat!C243</f>
        <v>3</v>
      </c>
      <c r="E243" s="22">
        <f t="shared" ref="E243:F243" si="244">C243/(C242+C243)</f>
        <v>0.3</v>
      </c>
      <c r="F243" s="22">
        <f t="shared" si="244"/>
        <v>0.375</v>
      </c>
      <c r="I243" s="60"/>
      <c r="J243" s="21" t="s">
        <v>22</v>
      </c>
      <c r="K243" s="22">
        <f t="shared" si="195"/>
        <v>0.3</v>
      </c>
      <c r="L243" s="22">
        <f t="shared" si="195"/>
        <v>0.375</v>
      </c>
      <c r="P243" s="24"/>
      <c r="Q243" s="24"/>
      <c r="R243" s="24"/>
      <c r="S243" s="24"/>
    </row>
    <row r="244" spans="1:19" x14ac:dyDescent="0.15">
      <c r="A244" s="60">
        <v>122</v>
      </c>
      <c r="B244" s="21" t="s">
        <v>21</v>
      </c>
      <c r="C244" s="21">
        <f>[64]PARS_nsy_stat!B244</f>
        <v>14</v>
      </c>
      <c r="D244" s="21">
        <f>[64]PARS_nsy_stat!C244</f>
        <v>8</v>
      </c>
      <c r="E244" s="22">
        <f t="shared" ref="E244:F244" si="245">C244/(C244+C245)</f>
        <v>0.875</v>
      </c>
      <c r="F244" s="22">
        <f t="shared" si="245"/>
        <v>0.53333333333333333</v>
      </c>
      <c r="I244" s="60">
        <v>122</v>
      </c>
      <c r="J244" s="21" t="s">
        <v>21</v>
      </c>
      <c r="K244" s="22">
        <f t="shared" si="195"/>
        <v>0.875</v>
      </c>
      <c r="L244" s="22">
        <f t="shared" si="195"/>
        <v>0.53333333333333333</v>
      </c>
      <c r="P244" s="24"/>
      <c r="Q244" s="24"/>
      <c r="R244" s="24"/>
      <c r="S244" s="24"/>
    </row>
    <row r="245" spans="1:19" x14ac:dyDescent="0.15">
      <c r="A245" s="60"/>
      <c r="B245" s="21" t="s">
        <v>22</v>
      </c>
      <c r="C245" s="21">
        <f>[64]PARS_nsy_stat!B245</f>
        <v>2</v>
      </c>
      <c r="D245" s="21">
        <f>[64]PARS_nsy_stat!C245</f>
        <v>7</v>
      </c>
      <c r="E245" s="22">
        <f t="shared" ref="E245:F245" si="246">C245/(C244+C245)</f>
        <v>0.125</v>
      </c>
      <c r="F245" s="22">
        <f t="shared" si="246"/>
        <v>0.46666666666666667</v>
      </c>
      <c r="I245" s="60"/>
      <c r="J245" s="21" t="s">
        <v>22</v>
      </c>
      <c r="K245" s="22">
        <f t="shared" si="195"/>
        <v>0.125</v>
      </c>
      <c r="L245" s="22">
        <f t="shared" si="195"/>
        <v>0.46666666666666667</v>
      </c>
      <c r="P245" s="24"/>
      <c r="Q245" s="24"/>
      <c r="R245" s="24"/>
      <c r="S245" s="24"/>
    </row>
    <row r="246" spans="1:19" x14ac:dyDescent="0.15">
      <c r="A246" s="60">
        <v>123</v>
      </c>
      <c r="B246" s="21" t="s">
        <v>21</v>
      </c>
      <c r="C246" s="21">
        <f>[64]PARS_nsy_stat!B246</f>
        <v>9</v>
      </c>
      <c r="D246" s="21">
        <f>[64]PARS_nsy_stat!C246</f>
        <v>5</v>
      </c>
      <c r="E246" s="22">
        <f t="shared" ref="E246:F246" si="247">C246/(C246+C247)</f>
        <v>0.6428571428571429</v>
      </c>
      <c r="F246" s="22">
        <f t="shared" si="247"/>
        <v>0.41666666666666669</v>
      </c>
      <c r="I246" s="60">
        <v>123</v>
      </c>
      <c r="J246" s="21" t="s">
        <v>21</v>
      </c>
      <c r="K246" s="22">
        <f t="shared" si="195"/>
        <v>0.6428571428571429</v>
      </c>
      <c r="L246" s="22">
        <f t="shared" si="195"/>
        <v>0.41666666666666669</v>
      </c>
      <c r="P246" s="24"/>
      <c r="Q246" s="24"/>
      <c r="R246" s="24"/>
      <c r="S246" s="24"/>
    </row>
    <row r="247" spans="1:19" x14ac:dyDescent="0.15">
      <c r="A247" s="60"/>
      <c r="B247" s="21" t="s">
        <v>22</v>
      </c>
      <c r="C247" s="21">
        <f>[64]PARS_nsy_stat!B247</f>
        <v>5</v>
      </c>
      <c r="D247" s="21">
        <f>[64]PARS_nsy_stat!C247</f>
        <v>7</v>
      </c>
      <c r="E247" s="22">
        <f t="shared" ref="E247:F247" si="248">C247/(C246+C247)</f>
        <v>0.35714285714285715</v>
      </c>
      <c r="F247" s="22">
        <f t="shared" si="248"/>
        <v>0.58333333333333337</v>
      </c>
      <c r="I247" s="60"/>
      <c r="J247" s="21" t="s">
        <v>22</v>
      </c>
      <c r="K247" s="22">
        <f t="shared" si="195"/>
        <v>0.35714285714285715</v>
      </c>
      <c r="L247" s="22">
        <f t="shared" si="195"/>
        <v>0.58333333333333337</v>
      </c>
      <c r="P247" s="24"/>
      <c r="Q247" s="24"/>
      <c r="R247" s="24"/>
      <c r="S247" s="24"/>
    </row>
    <row r="248" spans="1:19" x14ac:dyDescent="0.15">
      <c r="A248" s="60">
        <v>124</v>
      </c>
      <c r="B248" s="21" t="s">
        <v>21</v>
      </c>
      <c r="C248" s="21">
        <f>[64]PARS_nsy_stat!B248</f>
        <v>17</v>
      </c>
      <c r="D248" s="21">
        <f>[64]PARS_nsy_stat!C248</f>
        <v>5</v>
      </c>
      <c r="E248" s="22">
        <f t="shared" ref="E248:F248" si="249">C248/(C248+C249)</f>
        <v>0.6071428571428571</v>
      </c>
      <c r="F248" s="22">
        <f t="shared" si="249"/>
        <v>0.55555555555555558</v>
      </c>
      <c r="I248" s="60">
        <v>124</v>
      </c>
      <c r="J248" s="21" t="s">
        <v>21</v>
      </c>
      <c r="K248" s="22">
        <f t="shared" si="195"/>
        <v>0.6071428571428571</v>
      </c>
      <c r="L248" s="22">
        <f t="shared" si="195"/>
        <v>0.55555555555555558</v>
      </c>
      <c r="P248" s="24"/>
      <c r="Q248" s="24"/>
      <c r="R248" s="24"/>
      <c r="S248" s="24"/>
    </row>
    <row r="249" spans="1:19" x14ac:dyDescent="0.15">
      <c r="A249" s="60"/>
      <c r="B249" s="21" t="s">
        <v>22</v>
      </c>
      <c r="C249" s="21">
        <f>[64]PARS_nsy_stat!B249</f>
        <v>11</v>
      </c>
      <c r="D249" s="21">
        <f>[64]PARS_nsy_stat!C249</f>
        <v>4</v>
      </c>
      <c r="E249" s="22">
        <f t="shared" ref="E249:F249" si="250">C249/(C248+C249)</f>
        <v>0.39285714285714285</v>
      </c>
      <c r="F249" s="22">
        <f t="shared" si="250"/>
        <v>0.44444444444444442</v>
      </c>
      <c r="I249" s="60"/>
      <c r="J249" s="21" t="s">
        <v>22</v>
      </c>
      <c r="K249" s="22">
        <f t="shared" si="195"/>
        <v>0.39285714285714285</v>
      </c>
      <c r="L249" s="22">
        <f t="shared" si="195"/>
        <v>0.44444444444444442</v>
      </c>
      <c r="P249" s="24"/>
      <c r="Q249" s="24"/>
      <c r="R249" s="24"/>
      <c r="S249" s="24"/>
    </row>
    <row r="250" spans="1:19" x14ac:dyDescent="0.15">
      <c r="A250" s="60">
        <v>125</v>
      </c>
      <c r="B250" s="21" t="s">
        <v>21</v>
      </c>
      <c r="C250" s="21">
        <f>[64]PARS_nsy_stat!B250</f>
        <v>20</v>
      </c>
      <c r="D250" s="21">
        <f>[64]PARS_nsy_stat!C250</f>
        <v>9</v>
      </c>
      <c r="E250" s="22">
        <f t="shared" ref="E250:F250" si="251">C250/(C250+C251)</f>
        <v>0.55555555555555558</v>
      </c>
      <c r="F250" s="22">
        <f t="shared" si="251"/>
        <v>0.47368421052631576</v>
      </c>
      <c r="I250" s="60">
        <v>125</v>
      </c>
      <c r="J250" s="21" t="s">
        <v>21</v>
      </c>
      <c r="K250" s="22">
        <f t="shared" si="195"/>
        <v>0.55555555555555558</v>
      </c>
      <c r="L250" s="22">
        <f t="shared" si="195"/>
        <v>0.47368421052631576</v>
      </c>
      <c r="P250" s="24"/>
      <c r="Q250" s="24"/>
      <c r="R250" s="24"/>
      <c r="S250" s="24"/>
    </row>
    <row r="251" spans="1:19" x14ac:dyDescent="0.15">
      <c r="A251" s="60"/>
      <c r="B251" s="21" t="s">
        <v>22</v>
      </c>
      <c r="C251" s="21">
        <f>[64]PARS_nsy_stat!B251</f>
        <v>16</v>
      </c>
      <c r="D251" s="21">
        <f>[64]PARS_nsy_stat!C251</f>
        <v>10</v>
      </c>
      <c r="E251" s="22">
        <f t="shared" ref="E251:F251" si="252">C251/(C250+C251)</f>
        <v>0.44444444444444442</v>
      </c>
      <c r="F251" s="22">
        <f t="shared" si="252"/>
        <v>0.52631578947368418</v>
      </c>
      <c r="I251" s="60"/>
      <c r="J251" s="21" t="s">
        <v>22</v>
      </c>
      <c r="K251" s="22">
        <f t="shared" si="195"/>
        <v>0.44444444444444442</v>
      </c>
      <c r="L251" s="22">
        <f t="shared" si="195"/>
        <v>0.52631578947368418</v>
      </c>
      <c r="P251" s="24"/>
      <c r="Q251" s="24"/>
      <c r="R251" s="24"/>
      <c r="S251" s="24"/>
    </row>
    <row r="252" spans="1:19" x14ac:dyDescent="0.15">
      <c r="A252" s="60">
        <v>126</v>
      </c>
      <c r="B252" s="21" t="s">
        <v>21</v>
      </c>
      <c r="C252" s="21">
        <f>[64]PARS_nsy_stat!B252</f>
        <v>25</v>
      </c>
      <c r="D252" s="21">
        <f>[64]PARS_nsy_stat!C252</f>
        <v>7</v>
      </c>
      <c r="E252" s="22">
        <f t="shared" ref="E252:F252" si="253">C252/(C252+C253)</f>
        <v>0.65789473684210531</v>
      </c>
      <c r="F252" s="22">
        <f t="shared" si="253"/>
        <v>0.41176470588235292</v>
      </c>
      <c r="I252" s="60">
        <v>126</v>
      </c>
      <c r="J252" s="21" t="s">
        <v>21</v>
      </c>
      <c r="K252" s="22">
        <f t="shared" si="195"/>
        <v>0.65789473684210531</v>
      </c>
      <c r="L252" s="22">
        <f t="shared" si="195"/>
        <v>0.41176470588235292</v>
      </c>
      <c r="P252" s="24"/>
      <c r="Q252" s="24"/>
      <c r="R252" s="24"/>
      <c r="S252" s="24"/>
    </row>
    <row r="253" spans="1:19" x14ac:dyDescent="0.15">
      <c r="A253" s="60"/>
      <c r="B253" s="21" t="s">
        <v>22</v>
      </c>
      <c r="C253" s="21">
        <f>[64]PARS_nsy_stat!B253</f>
        <v>13</v>
      </c>
      <c r="D253" s="21">
        <f>[64]PARS_nsy_stat!C253</f>
        <v>10</v>
      </c>
      <c r="E253" s="22">
        <f t="shared" ref="E253:F253" si="254">C253/(C252+C253)</f>
        <v>0.34210526315789475</v>
      </c>
      <c r="F253" s="22">
        <f t="shared" si="254"/>
        <v>0.58823529411764708</v>
      </c>
      <c r="I253" s="60"/>
      <c r="J253" s="21" t="s">
        <v>22</v>
      </c>
      <c r="K253" s="22">
        <f t="shared" si="195"/>
        <v>0.34210526315789475</v>
      </c>
      <c r="L253" s="22">
        <f t="shared" si="195"/>
        <v>0.58823529411764708</v>
      </c>
      <c r="P253" s="24"/>
      <c r="Q253" s="24"/>
      <c r="R253" s="24"/>
      <c r="S253" s="24"/>
    </row>
    <row r="254" spans="1:19" x14ac:dyDescent="0.15">
      <c r="A254" s="60">
        <v>127</v>
      </c>
      <c r="B254" s="21" t="s">
        <v>21</v>
      </c>
      <c r="C254" s="21">
        <f>[64]PARS_nsy_stat!B254</f>
        <v>76</v>
      </c>
      <c r="D254" s="21">
        <f>[64]PARS_nsy_stat!C254</f>
        <v>28</v>
      </c>
      <c r="E254" s="22">
        <f t="shared" ref="E254:F254" si="255">C254/(C254+C255)</f>
        <v>0.66666666666666663</v>
      </c>
      <c r="F254" s="22">
        <f t="shared" si="255"/>
        <v>0.52830188679245282</v>
      </c>
      <c r="I254" s="60">
        <v>127</v>
      </c>
      <c r="J254" s="21" t="s">
        <v>21</v>
      </c>
      <c r="K254" s="22">
        <f t="shared" si="195"/>
        <v>0.66666666666666663</v>
      </c>
      <c r="L254" s="22">
        <f t="shared" si="195"/>
        <v>0.52830188679245282</v>
      </c>
      <c r="P254" s="24"/>
      <c r="Q254" s="24"/>
      <c r="R254" s="24"/>
      <c r="S254" s="24"/>
    </row>
    <row r="255" spans="1:19" x14ac:dyDescent="0.15">
      <c r="A255" s="60"/>
      <c r="B255" s="21" t="s">
        <v>22</v>
      </c>
      <c r="C255" s="21">
        <f>[64]PARS_nsy_stat!B255</f>
        <v>38</v>
      </c>
      <c r="D255" s="21">
        <f>[64]PARS_nsy_stat!C255</f>
        <v>25</v>
      </c>
      <c r="E255" s="22">
        <f t="shared" ref="E255:F255" si="256">C255/(C254+C255)</f>
        <v>0.33333333333333331</v>
      </c>
      <c r="F255" s="22">
        <f t="shared" si="256"/>
        <v>0.47169811320754718</v>
      </c>
      <c r="I255" s="60"/>
      <c r="J255" s="21" t="s">
        <v>22</v>
      </c>
      <c r="K255" s="22">
        <f t="shared" si="195"/>
        <v>0.33333333333333331</v>
      </c>
      <c r="L255" s="22">
        <f t="shared" si="195"/>
        <v>0.47169811320754718</v>
      </c>
      <c r="P255" s="24"/>
      <c r="Q255" s="24"/>
      <c r="R255" s="24"/>
      <c r="S255" s="24"/>
    </row>
  </sheetData>
  <mergeCells count="256">
    <mergeCell ref="P1:Q1"/>
    <mergeCell ref="R1:S1"/>
    <mergeCell ref="A2:A3"/>
    <mergeCell ref="I2:I3"/>
    <mergeCell ref="A4:A5"/>
    <mergeCell ref="I4:I5"/>
    <mergeCell ref="A12:A13"/>
    <mergeCell ref="I12:I13"/>
    <mergeCell ref="A14:A15"/>
    <mergeCell ref="I14:I15"/>
    <mergeCell ref="A16:A17"/>
    <mergeCell ref="I16:I17"/>
    <mergeCell ref="A6:A7"/>
    <mergeCell ref="I6:I7"/>
    <mergeCell ref="A8:A9"/>
    <mergeCell ref="I8:I9"/>
    <mergeCell ref="A10:A11"/>
    <mergeCell ref="I10:I11"/>
    <mergeCell ref="A24:A25"/>
    <mergeCell ref="I24:I25"/>
    <mergeCell ref="A26:A27"/>
    <mergeCell ref="I26:I27"/>
    <mergeCell ref="A28:A29"/>
    <mergeCell ref="I28:I29"/>
    <mergeCell ref="A18:A19"/>
    <mergeCell ref="I18:I19"/>
    <mergeCell ref="A20:A21"/>
    <mergeCell ref="I20:I21"/>
    <mergeCell ref="A22:A23"/>
    <mergeCell ref="I22:I23"/>
    <mergeCell ref="A36:A37"/>
    <mergeCell ref="I36:I37"/>
    <mergeCell ref="A38:A39"/>
    <mergeCell ref="I38:I39"/>
    <mergeCell ref="A40:A41"/>
    <mergeCell ref="I40:I41"/>
    <mergeCell ref="A30:A31"/>
    <mergeCell ref="I30:I31"/>
    <mergeCell ref="A32:A33"/>
    <mergeCell ref="I32:I33"/>
    <mergeCell ref="A34:A35"/>
    <mergeCell ref="I34:I35"/>
    <mergeCell ref="A48:A49"/>
    <mergeCell ref="I48:I49"/>
    <mergeCell ref="A50:A51"/>
    <mergeCell ref="I50:I51"/>
    <mergeCell ref="A52:A53"/>
    <mergeCell ref="I52:I53"/>
    <mergeCell ref="A42:A43"/>
    <mergeCell ref="I42:I43"/>
    <mergeCell ref="A44:A45"/>
    <mergeCell ref="I44:I45"/>
    <mergeCell ref="A46:A47"/>
    <mergeCell ref="I46:I47"/>
    <mergeCell ref="A60:A61"/>
    <mergeCell ref="I60:I61"/>
    <mergeCell ref="A62:A63"/>
    <mergeCell ref="I62:I63"/>
    <mergeCell ref="A64:A65"/>
    <mergeCell ref="I64:I65"/>
    <mergeCell ref="A54:A55"/>
    <mergeCell ref="I54:I55"/>
    <mergeCell ref="A56:A57"/>
    <mergeCell ref="I56:I57"/>
    <mergeCell ref="A58:A59"/>
    <mergeCell ref="I58:I59"/>
    <mergeCell ref="A72:A73"/>
    <mergeCell ref="I72:I73"/>
    <mergeCell ref="A74:A75"/>
    <mergeCell ref="I74:I75"/>
    <mergeCell ref="A76:A77"/>
    <mergeCell ref="I76:I77"/>
    <mergeCell ref="A66:A67"/>
    <mergeCell ref="I66:I67"/>
    <mergeCell ref="A68:A69"/>
    <mergeCell ref="I68:I69"/>
    <mergeCell ref="A70:A71"/>
    <mergeCell ref="I70:I71"/>
    <mergeCell ref="A84:A85"/>
    <mergeCell ref="I84:I85"/>
    <mergeCell ref="A86:A87"/>
    <mergeCell ref="I86:I87"/>
    <mergeCell ref="A88:A89"/>
    <mergeCell ref="I88:I89"/>
    <mergeCell ref="A78:A79"/>
    <mergeCell ref="I78:I79"/>
    <mergeCell ref="A80:A81"/>
    <mergeCell ref="I80:I81"/>
    <mergeCell ref="A82:A83"/>
    <mergeCell ref="I82:I83"/>
    <mergeCell ref="A96:A97"/>
    <mergeCell ref="I96:I97"/>
    <mergeCell ref="A98:A99"/>
    <mergeCell ref="I98:I99"/>
    <mergeCell ref="A100:A101"/>
    <mergeCell ref="I100:I101"/>
    <mergeCell ref="A90:A91"/>
    <mergeCell ref="I90:I91"/>
    <mergeCell ref="A92:A93"/>
    <mergeCell ref="I92:I93"/>
    <mergeCell ref="A94:A95"/>
    <mergeCell ref="I94:I95"/>
    <mergeCell ref="A108:A109"/>
    <mergeCell ref="I108:I109"/>
    <mergeCell ref="A110:A111"/>
    <mergeCell ref="I110:I111"/>
    <mergeCell ref="A112:A113"/>
    <mergeCell ref="I112:I113"/>
    <mergeCell ref="A102:A103"/>
    <mergeCell ref="I102:I103"/>
    <mergeCell ref="A104:A105"/>
    <mergeCell ref="I104:I105"/>
    <mergeCell ref="A106:A107"/>
    <mergeCell ref="I106:I107"/>
    <mergeCell ref="A120:A121"/>
    <mergeCell ref="I120:I121"/>
    <mergeCell ref="A122:A123"/>
    <mergeCell ref="I122:I123"/>
    <mergeCell ref="A124:A125"/>
    <mergeCell ref="I124:I125"/>
    <mergeCell ref="A114:A115"/>
    <mergeCell ref="I114:I115"/>
    <mergeCell ref="A116:A117"/>
    <mergeCell ref="I116:I117"/>
    <mergeCell ref="A118:A119"/>
    <mergeCell ref="I118:I119"/>
    <mergeCell ref="A132:A133"/>
    <mergeCell ref="I132:I133"/>
    <mergeCell ref="A134:A135"/>
    <mergeCell ref="I134:I135"/>
    <mergeCell ref="A136:A137"/>
    <mergeCell ref="I136:I137"/>
    <mergeCell ref="A126:A127"/>
    <mergeCell ref="I126:I127"/>
    <mergeCell ref="A128:A129"/>
    <mergeCell ref="I128:I129"/>
    <mergeCell ref="A130:A131"/>
    <mergeCell ref="I130:I131"/>
    <mergeCell ref="A144:A145"/>
    <mergeCell ref="I144:I145"/>
    <mergeCell ref="A146:A147"/>
    <mergeCell ref="I146:I147"/>
    <mergeCell ref="A148:A149"/>
    <mergeCell ref="I148:I149"/>
    <mergeCell ref="A138:A139"/>
    <mergeCell ref="I138:I139"/>
    <mergeCell ref="A140:A141"/>
    <mergeCell ref="I140:I141"/>
    <mergeCell ref="A142:A143"/>
    <mergeCell ref="I142:I143"/>
    <mergeCell ref="A156:A157"/>
    <mergeCell ref="I156:I157"/>
    <mergeCell ref="A158:A159"/>
    <mergeCell ref="I158:I159"/>
    <mergeCell ref="A160:A161"/>
    <mergeCell ref="I160:I161"/>
    <mergeCell ref="A150:A151"/>
    <mergeCell ref="I150:I151"/>
    <mergeCell ref="A152:A153"/>
    <mergeCell ref="I152:I153"/>
    <mergeCell ref="A154:A155"/>
    <mergeCell ref="I154:I155"/>
    <mergeCell ref="A168:A169"/>
    <mergeCell ref="I168:I169"/>
    <mergeCell ref="A170:A171"/>
    <mergeCell ref="I170:I171"/>
    <mergeCell ref="A172:A173"/>
    <mergeCell ref="I172:I173"/>
    <mergeCell ref="A162:A163"/>
    <mergeCell ref="I162:I163"/>
    <mergeCell ref="A164:A165"/>
    <mergeCell ref="I164:I165"/>
    <mergeCell ref="A166:A167"/>
    <mergeCell ref="I166:I167"/>
    <mergeCell ref="A180:A181"/>
    <mergeCell ref="I180:I181"/>
    <mergeCell ref="A182:A183"/>
    <mergeCell ref="I182:I183"/>
    <mergeCell ref="A184:A185"/>
    <mergeCell ref="I184:I185"/>
    <mergeCell ref="A174:A175"/>
    <mergeCell ref="I174:I175"/>
    <mergeCell ref="A176:A177"/>
    <mergeCell ref="I176:I177"/>
    <mergeCell ref="A178:A179"/>
    <mergeCell ref="I178:I179"/>
    <mergeCell ref="A192:A193"/>
    <mergeCell ref="I192:I193"/>
    <mergeCell ref="A194:A195"/>
    <mergeCell ref="I194:I195"/>
    <mergeCell ref="A196:A197"/>
    <mergeCell ref="I196:I197"/>
    <mergeCell ref="A186:A187"/>
    <mergeCell ref="I186:I187"/>
    <mergeCell ref="A188:A189"/>
    <mergeCell ref="I188:I189"/>
    <mergeCell ref="A190:A191"/>
    <mergeCell ref="I190:I191"/>
    <mergeCell ref="A204:A205"/>
    <mergeCell ref="I204:I205"/>
    <mergeCell ref="A206:A207"/>
    <mergeCell ref="I206:I207"/>
    <mergeCell ref="A208:A209"/>
    <mergeCell ref="I208:I209"/>
    <mergeCell ref="A198:A199"/>
    <mergeCell ref="I198:I199"/>
    <mergeCell ref="A200:A201"/>
    <mergeCell ref="I200:I201"/>
    <mergeCell ref="A202:A203"/>
    <mergeCell ref="I202:I203"/>
    <mergeCell ref="A216:A217"/>
    <mergeCell ref="I216:I217"/>
    <mergeCell ref="A218:A219"/>
    <mergeCell ref="I218:I219"/>
    <mergeCell ref="A220:A221"/>
    <mergeCell ref="I220:I221"/>
    <mergeCell ref="A210:A211"/>
    <mergeCell ref="I210:I211"/>
    <mergeCell ref="A212:A213"/>
    <mergeCell ref="I212:I213"/>
    <mergeCell ref="A214:A215"/>
    <mergeCell ref="I214:I215"/>
    <mergeCell ref="A228:A229"/>
    <mergeCell ref="I228:I229"/>
    <mergeCell ref="A230:A231"/>
    <mergeCell ref="I230:I231"/>
    <mergeCell ref="A232:A233"/>
    <mergeCell ref="I232:I233"/>
    <mergeCell ref="A222:A223"/>
    <mergeCell ref="I222:I223"/>
    <mergeCell ref="A224:A225"/>
    <mergeCell ref="I224:I225"/>
    <mergeCell ref="A226:A227"/>
    <mergeCell ref="I226:I227"/>
    <mergeCell ref="A240:A241"/>
    <mergeCell ref="I240:I241"/>
    <mergeCell ref="A242:A243"/>
    <mergeCell ref="I242:I243"/>
    <mergeCell ref="A244:A245"/>
    <mergeCell ref="I244:I245"/>
    <mergeCell ref="A234:A235"/>
    <mergeCell ref="I234:I235"/>
    <mergeCell ref="A236:A237"/>
    <mergeCell ref="I236:I237"/>
    <mergeCell ref="A238:A239"/>
    <mergeCell ref="I238:I239"/>
    <mergeCell ref="A252:A253"/>
    <mergeCell ref="I252:I253"/>
    <mergeCell ref="A254:A255"/>
    <mergeCell ref="I254:I255"/>
    <mergeCell ref="A246:A247"/>
    <mergeCell ref="I246:I247"/>
    <mergeCell ref="A248:A249"/>
    <mergeCell ref="I248:I249"/>
    <mergeCell ref="A250:A251"/>
    <mergeCell ref="I250:I25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opLeftCell="V54" workbookViewId="0">
      <selection activeCell="AC82" sqref="AC82:AC96"/>
    </sheetView>
  </sheetViews>
  <sheetFormatPr baseColWidth="10" defaultRowHeight="15" x14ac:dyDescent="0.15"/>
  <cols>
    <col min="1" max="1" width="10.83203125" style="28"/>
    <col min="2" max="16" width="16.5" style="28" bestFit="1" customWidth="1"/>
    <col min="17" max="16384" width="10.83203125" style="28"/>
  </cols>
  <sheetData>
    <row r="1" spans="1:16" x14ac:dyDescent="0.15">
      <c r="A1" s="27"/>
      <c r="B1" s="23" t="s">
        <v>346</v>
      </c>
      <c r="C1" s="23" t="s">
        <v>79</v>
      </c>
      <c r="D1" s="23" t="s">
        <v>80</v>
      </c>
      <c r="E1" s="23" t="s">
        <v>81</v>
      </c>
      <c r="F1" s="23" t="s">
        <v>82</v>
      </c>
      <c r="G1" s="23" t="s">
        <v>83</v>
      </c>
      <c r="H1" s="23" t="s">
        <v>84</v>
      </c>
      <c r="I1" s="23" t="s">
        <v>85</v>
      </c>
      <c r="J1" s="23" t="s">
        <v>86</v>
      </c>
      <c r="K1" s="23" t="s">
        <v>87</v>
      </c>
      <c r="L1" s="23" t="s">
        <v>88</v>
      </c>
      <c r="M1" s="23" t="s">
        <v>89</v>
      </c>
      <c r="N1" s="23" t="s">
        <v>90</v>
      </c>
      <c r="O1" s="23" t="s">
        <v>91</v>
      </c>
      <c r="P1" s="23" t="s">
        <v>92</v>
      </c>
    </row>
    <row r="2" spans="1:16" x14ac:dyDescent="0.15">
      <c r="A2" s="28" t="s">
        <v>23</v>
      </c>
      <c r="B2" s="28" t="s">
        <v>24</v>
      </c>
      <c r="C2" s="28" t="s">
        <v>24</v>
      </c>
      <c r="D2" s="28" t="s">
        <v>24</v>
      </c>
      <c r="E2" s="28" t="s">
        <v>24</v>
      </c>
      <c r="F2" s="28" t="s">
        <v>24</v>
      </c>
      <c r="G2" s="28" t="s">
        <v>24</v>
      </c>
      <c r="H2" s="28" t="s">
        <v>24</v>
      </c>
      <c r="I2" s="28" t="s">
        <v>24</v>
      </c>
      <c r="J2" s="28" t="s">
        <v>24</v>
      </c>
      <c r="K2" s="28" t="s">
        <v>24</v>
      </c>
      <c r="L2" s="28" t="s">
        <v>24</v>
      </c>
      <c r="M2" s="28" t="s">
        <v>24</v>
      </c>
      <c r="N2" s="28" t="s">
        <v>24</v>
      </c>
      <c r="O2" s="28" t="s">
        <v>24</v>
      </c>
      <c r="P2" s="28" t="s">
        <v>24</v>
      </c>
    </row>
    <row r="3" spans="1:16" x14ac:dyDescent="0.15">
      <c r="A3" s="28" t="s">
        <v>52</v>
      </c>
      <c r="B3" s="28">
        <f>[65]PARS_cds_1_stat_stem_AT_GC_freq!B2</f>
        <v>36</v>
      </c>
      <c r="C3" s="28">
        <f>[66]PARS_cds_2_stat_stem_AT_GC_freq!B2</f>
        <v>267</v>
      </c>
      <c r="D3" s="28">
        <f>[67]PARS_cds_3_stat_stem_AT_GC_freq!B2</f>
        <v>483</v>
      </c>
      <c r="E3" s="28">
        <f>[68]PARS_cds_4_stat_stem_AT_GC_freq!B2</f>
        <v>711</v>
      </c>
      <c r="F3" s="28">
        <f>[69]PARS_cds_5_stat_stem_AT_GC_freq!B2</f>
        <v>762</v>
      </c>
      <c r="G3" s="28">
        <f>[70]PARS_cds_6_stat_stem_AT_GC_freq!B2</f>
        <v>736</v>
      </c>
      <c r="H3" s="28">
        <f>[71]PARS_cds_7_stat_stem_AT_GC_freq!B2</f>
        <v>602</v>
      </c>
      <c r="I3" s="28">
        <f>[72]PARS_cds_8_stat_stem_AT_GC_freq!B2</f>
        <v>464</v>
      </c>
      <c r="J3" s="28">
        <f>[73]PARS_cds_9_stat_stem_AT_GC_freq!B2</f>
        <v>341</v>
      </c>
      <c r="K3" s="28">
        <f>[74]PARS_cds_10_stat_stem_AT_GC_fre!B2</f>
        <v>261</v>
      </c>
      <c r="L3" s="28">
        <f>[75]PARS_cds_11_stat_stem_AT_GC_fre!B2</f>
        <v>212</v>
      </c>
      <c r="M3" s="28">
        <f>[76]PARS_cds_12_stat_stem_AT_GC_fre!B2</f>
        <v>145</v>
      </c>
      <c r="N3" s="28">
        <f>[77]PARS_cds_13_stat_stem_AT_GC_fre!B2</f>
        <v>107</v>
      </c>
      <c r="O3" s="28">
        <f>[78]PARS_cds_14_stat_stem_AT_GC_fre!B2</f>
        <v>89</v>
      </c>
      <c r="P3" s="28">
        <f>[79]PARS_cds_15_stat_stem_AT_GC_fre!B2</f>
        <v>61</v>
      </c>
    </row>
    <row r="4" spans="1:16" x14ac:dyDescent="0.15">
      <c r="A4" s="28" t="s">
        <v>38</v>
      </c>
      <c r="B4" s="28">
        <f>[65]PARS_cds_1_stat_stem_AT_GC_freq!B3</f>
        <v>9</v>
      </c>
      <c r="C4" s="28">
        <f>[66]PARS_cds_2_stat_stem_AT_GC_freq!B3</f>
        <v>43</v>
      </c>
      <c r="D4" s="28">
        <f>[67]PARS_cds_3_stat_stem_AT_GC_freq!B3</f>
        <v>95</v>
      </c>
      <c r="E4" s="28">
        <f>[68]PARS_cds_4_stat_stem_AT_GC_freq!B3</f>
        <v>123</v>
      </c>
      <c r="F4" s="28">
        <f>[69]PARS_cds_5_stat_stem_AT_GC_freq!B3</f>
        <v>152</v>
      </c>
      <c r="G4" s="28">
        <f>[70]PARS_cds_6_stat_stem_AT_GC_freq!B3</f>
        <v>100</v>
      </c>
      <c r="H4" s="28">
        <f>[71]PARS_cds_7_stat_stem_AT_GC_freq!B3</f>
        <v>120</v>
      </c>
      <c r="I4" s="28">
        <f>[72]PARS_cds_8_stat_stem_AT_GC_freq!B3</f>
        <v>79</v>
      </c>
      <c r="J4" s="28">
        <f>[73]PARS_cds_9_stat_stem_AT_GC_freq!B3</f>
        <v>49</v>
      </c>
      <c r="K4" s="28">
        <f>[74]PARS_cds_10_stat_stem_AT_GC_fre!B3</f>
        <v>43</v>
      </c>
      <c r="L4" s="28">
        <f>[75]PARS_cds_11_stat_stem_AT_GC_fre!B3</f>
        <v>41</v>
      </c>
      <c r="M4" s="28">
        <f>[76]PARS_cds_12_stat_stem_AT_GC_fre!B3</f>
        <v>26</v>
      </c>
      <c r="N4" s="28">
        <f>[77]PARS_cds_13_stat_stem_AT_GC_fre!B3</f>
        <v>18</v>
      </c>
      <c r="O4" s="28">
        <f>[78]PARS_cds_14_stat_stem_AT_GC_fre!B3</f>
        <v>12</v>
      </c>
      <c r="P4" s="28">
        <f>[79]PARS_cds_15_stat_stem_AT_GC_fre!B3</f>
        <v>12</v>
      </c>
    </row>
    <row r="5" spans="1:16" x14ac:dyDescent="0.15">
      <c r="A5" s="28" t="s">
        <v>53</v>
      </c>
      <c r="B5" s="28">
        <f>[65]PARS_cds_1_stat_stem_AT_GC_freq!B4</f>
        <v>3</v>
      </c>
      <c r="C5" s="28">
        <f>[66]PARS_cds_2_stat_stem_AT_GC_freq!B4</f>
        <v>33</v>
      </c>
      <c r="D5" s="28">
        <f>[67]PARS_cds_3_stat_stem_AT_GC_freq!B4</f>
        <v>56</v>
      </c>
      <c r="E5" s="28">
        <f>[68]PARS_cds_4_stat_stem_AT_GC_freq!B4</f>
        <v>79</v>
      </c>
      <c r="F5" s="28">
        <f>[69]PARS_cds_5_stat_stem_AT_GC_freq!B4</f>
        <v>87</v>
      </c>
      <c r="G5" s="28">
        <f>[70]PARS_cds_6_stat_stem_AT_GC_freq!B4</f>
        <v>89</v>
      </c>
      <c r="H5" s="28">
        <f>[71]PARS_cds_7_stat_stem_AT_GC_freq!B4</f>
        <v>69</v>
      </c>
      <c r="I5" s="28">
        <f>[72]PARS_cds_8_stat_stem_AT_GC_freq!B4</f>
        <v>39</v>
      </c>
      <c r="J5" s="28">
        <f>[73]PARS_cds_9_stat_stem_AT_GC_freq!B4</f>
        <v>47</v>
      </c>
      <c r="K5" s="28">
        <f>[74]PARS_cds_10_stat_stem_AT_GC_fre!B4</f>
        <v>21</v>
      </c>
      <c r="L5" s="28">
        <f>[75]PARS_cds_11_stat_stem_AT_GC_fre!B4</f>
        <v>23</v>
      </c>
      <c r="M5" s="28">
        <f>[76]PARS_cds_12_stat_stem_AT_GC_fre!B4</f>
        <v>21</v>
      </c>
      <c r="N5" s="28">
        <f>[77]PARS_cds_13_stat_stem_AT_GC_fre!B4</f>
        <v>9</v>
      </c>
      <c r="O5" s="28">
        <f>[78]PARS_cds_14_stat_stem_AT_GC_fre!B4</f>
        <v>11</v>
      </c>
      <c r="P5" s="28">
        <f>[79]PARS_cds_15_stat_stem_AT_GC_fre!B4</f>
        <v>8</v>
      </c>
    </row>
    <row r="6" spans="1:16" x14ac:dyDescent="0.15">
      <c r="A6" s="28" t="s">
        <v>54</v>
      </c>
      <c r="B6" s="28">
        <f>[65]PARS_cds_1_stat_stem_AT_GC_freq!B5</f>
        <v>0</v>
      </c>
      <c r="C6" s="28">
        <f>[66]PARS_cds_2_stat_stem_AT_GC_freq!B5</f>
        <v>21</v>
      </c>
      <c r="D6" s="28">
        <f>[67]PARS_cds_3_stat_stem_AT_GC_freq!B5</f>
        <v>42</v>
      </c>
      <c r="E6" s="28">
        <f>[68]PARS_cds_4_stat_stem_AT_GC_freq!B5</f>
        <v>60</v>
      </c>
      <c r="F6" s="28">
        <f>[69]PARS_cds_5_stat_stem_AT_GC_freq!B5</f>
        <v>59</v>
      </c>
      <c r="G6" s="28">
        <f>[70]PARS_cds_6_stat_stem_AT_GC_freq!B5</f>
        <v>65</v>
      </c>
      <c r="H6" s="28">
        <f>[71]PARS_cds_7_stat_stem_AT_GC_freq!B5</f>
        <v>44</v>
      </c>
      <c r="I6" s="28">
        <f>[72]PARS_cds_8_stat_stem_AT_GC_freq!B5</f>
        <v>36</v>
      </c>
      <c r="J6" s="28">
        <f>[73]PARS_cds_9_stat_stem_AT_GC_freq!B5</f>
        <v>31</v>
      </c>
      <c r="K6" s="28">
        <f>[74]PARS_cds_10_stat_stem_AT_GC_fre!B5</f>
        <v>20</v>
      </c>
      <c r="L6" s="28">
        <f>[75]PARS_cds_11_stat_stem_AT_GC_fre!B5</f>
        <v>19</v>
      </c>
      <c r="M6" s="28">
        <f>[76]PARS_cds_12_stat_stem_AT_GC_fre!B5</f>
        <v>15</v>
      </c>
      <c r="N6" s="28">
        <f>[77]PARS_cds_13_stat_stem_AT_GC_fre!B5</f>
        <v>7</v>
      </c>
      <c r="O6" s="28">
        <f>[78]PARS_cds_14_stat_stem_AT_GC_fre!B5</f>
        <v>12</v>
      </c>
      <c r="P6" s="28">
        <f>[79]PARS_cds_15_stat_stem_AT_GC_fre!B5</f>
        <v>4</v>
      </c>
    </row>
    <row r="7" spans="1:16" x14ac:dyDescent="0.15">
      <c r="A7" s="28" t="s">
        <v>55</v>
      </c>
      <c r="B7" s="28">
        <f>[65]PARS_cds_1_stat_stem_AT_GC_freq!B6</f>
        <v>3</v>
      </c>
      <c r="C7" s="28">
        <f>[66]PARS_cds_2_stat_stem_AT_GC_freq!B6</f>
        <v>25</v>
      </c>
      <c r="D7" s="28">
        <f>[67]PARS_cds_3_stat_stem_AT_GC_freq!B6</f>
        <v>65</v>
      </c>
      <c r="E7" s="28">
        <f>[68]PARS_cds_4_stat_stem_AT_GC_freq!B6</f>
        <v>64</v>
      </c>
      <c r="F7" s="28">
        <f>[69]PARS_cds_5_stat_stem_AT_GC_freq!B6</f>
        <v>57</v>
      </c>
      <c r="G7" s="28">
        <f>[70]PARS_cds_6_stat_stem_AT_GC_freq!B6</f>
        <v>55</v>
      </c>
      <c r="H7" s="28">
        <f>[71]PARS_cds_7_stat_stem_AT_GC_freq!B6</f>
        <v>54</v>
      </c>
      <c r="I7" s="28">
        <f>[72]PARS_cds_8_stat_stem_AT_GC_freq!B6</f>
        <v>42</v>
      </c>
      <c r="J7" s="28">
        <f>[73]PARS_cds_9_stat_stem_AT_GC_freq!B6</f>
        <v>32</v>
      </c>
      <c r="K7" s="28">
        <f>[74]PARS_cds_10_stat_stem_AT_GC_fre!B6</f>
        <v>13</v>
      </c>
      <c r="L7" s="28">
        <f>[75]PARS_cds_11_stat_stem_AT_GC_fre!B6</f>
        <v>11</v>
      </c>
      <c r="M7" s="28">
        <f>[76]PARS_cds_12_stat_stem_AT_GC_fre!B6</f>
        <v>12</v>
      </c>
      <c r="N7" s="28">
        <f>[77]PARS_cds_13_stat_stem_AT_GC_fre!B6</f>
        <v>11</v>
      </c>
      <c r="O7" s="28">
        <f>[78]PARS_cds_14_stat_stem_AT_GC_fre!B6</f>
        <v>3</v>
      </c>
      <c r="P7" s="28">
        <f>[79]PARS_cds_15_stat_stem_AT_GC_fre!B6</f>
        <v>4</v>
      </c>
    </row>
    <row r="8" spans="1:16" x14ac:dyDescent="0.15">
      <c r="A8" s="28" t="s">
        <v>56</v>
      </c>
      <c r="B8" s="28">
        <f>[65]PARS_cds_1_stat_stem_AT_GC_freq!B7</f>
        <v>4</v>
      </c>
      <c r="C8" s="28">
        <f>[66]PARS_cds_2_stat_stem_AT_GC_freq!B7</f>
        <v>20</v>
      </c>
      <c r="D8" s="28">
        <f>[67]PARS_cds_3_stat_stem_AT_GC_freq!B7</f>
        <v>46</v>
      </c>
      <c r="E8" s="28">
        <f>[68]PARS_cds_4_stat_stem_AT_GC_freq!B7</f>
        <v>67</v>
      </c>
      <c r="F8" s="28">
        <f>[69]PARS_cds_5_stat_stem_AT_GC_freq!B7</f>
        <v>64</v>
      </c>
      <c r="G8" s="28">
        <f>[70]PARS_cds_6_stat_stem_AT_GC_freq!B7</f>
        <v>51</v>
      </c>
      <c r="H8" s="28">
        <f>[71]PARS_cds_7_stat_stem_AT_GC_freq!B7</f>
        <v>56</v>
      </c>
      <c r="I8" s="28">
        <f>[72]PARS_cds_8_stat_stem_AT_GC_freq!B7</f>
        <v>39</v>
      </c>
      <c r="J8" s="28">
        <f>[73]PARS_cds_9_stat_stem_AT_GC_freq!B7</f>
        <v>25</v>
      </c>
      <c r="K8" s="28">
        <f>[74]PARS_cds_10_stat_stem_AT_GC_fre!B7</f>
        <v>15</v>
      </c>
      <c r="L8" s="28">
        <f>[75]PARS_cds_11_stat_stem_AT_GC_fre!B7</f>
        <v>8</v>
      </c>
      <c r="M8" s="28">
        <f>[76]PARS_cds_12_stat_stem_AT_GC_fre!B7</f>
        <v>16</v>
      </c>
      <c r="N8" s="28">
        <f>[77]PARS_cds_13_stat_stem_AT_GC_fre!B7</f>
        <v>3</v>
      </c>
      <c r="O8" s="28">
        <f>[78]PARS_cds_14_stat_stem_AT_GC_fre!B7</f>
        <v>2</v>
      </c>
      <c r="P8" s="28">
        <f>[79]PARS_cds_15_stat_stem_AT_GC_fre!B7</f>
        <v>3</v>
      </c>
    </row>
    <row r="9" spans="1:16" x14ac:dyDescent="0.15">
      <c r="A9" s="28" t="s">
        <v>57</v>
      </c>
      <c r="B9" s="28">
        <f>[65]PARS_cds_1_stat_stem_AT_GC_freq!B8</f>
        <v>9</v>
      </c>
      <c r="C9" s="28">
        <f>[66]PARS_cds_2_stat_stem_AT_GC_freq!B8</f>
        <v>20</v>
      </c>
      <c r="D9" s="28">
        <f>[67]PARS_cds_3_stat_stem_AT_GC_freq!B8</f>
        <v>38</v>
      </c>
      <c r="E9" s="28">
        <f>[68]PARS_cds_4_stat_stem_AT_GC_freq!B8</f>
        <v>52</v>
      </c>
      <c r="F9" s="28">
        <f>[69]PARS_cds_5_stat_stem_AT_GC_freq!B8</f>
        <v>49</v>
      </c>
      <c r="G9" s="28">
        <f>[70]PARS_cds_6_stat_stem_AT_GC_freq!B8</f>
        <v>42</v>
      </c>
      <c r="H9" s="28">
        <f>[71]PARS_cds_7_stat_stem_AT_GC_freq!B8</f>
        <v>33</v>
      </c>
      <c r="I9" s="28">
        <f>[72]PARS_cds_8_stat_stem_AT_GC_freq!B8</f>
        <v>25</v>
      </c>
      <c r="J9" s="28">
        <f>[73]PARS_cds_9_stat_stem_AT_GC_freq!B8</f>
        <v>21</v>
      </c>
      <c r="K9" s="28">
        <f>[74]PARS_cds_10_stat_stem_AT_GC_fre!B8</f>
        <v>13</v>
      </c>
      <c r="L9" s="28">
        <f>[75]PARS_cds_11_stat_stem_AT_GC_fre!B8</f>
        <v>10</v>
      </c>
      <c r="M9" s="28">
        <f>[76]PARS_cds_12_stat_stem_AT_GC_fre!B8</f>
        <v>8</v>
      </c>
      <c r="N9" s="28">
        <f>[77]PARS_cds_13_stat_stem_AT_GC_fre!B8</f>
        <v>7</v>
      </c>
      <c r="O9" s="28">
        <f>[78]PARS_cds_14_stat_stem_AT_GC_fre!B8</f>
        <v>8</v>
      </c>
      <c r="P9" s="28">
        <f>[79]PARS_cds_15_stat_stem_AT_GC_fre!B8</f>
        <v>2</v>
      </c>
    </row>
    <row r="10" spans="1:16" x14ac:dyDescent="0.15">
      <c r="A10" s="28" t="s">
        <v>58</v>
      </c>
      <c r="B10" s="28">
        <f>[65]PARS_cds_1_stat_stem_AT_GC_freq!B9</f>
        <v>10</v>
      </c>
      <c r="C10" s="28">
        <f>[66]PARS_cds_2_stat_stem_AT_GC_freq!B9</f>
        <v>30</v>
      </c>
      <c r="D10" s="28">
        <f>[67]PARS_cds_3_stat_stem_AT_GC_freq!B9</f>
        <v>48</v>
      </c>
      <c r="E10" s="28">
        <f>[68]PARS_cds_4_stat_stem_AT_GC_freq!B9</f>
        <v>56</v>
      </c>
      <c r="F10" s="28">
        <f>[69]PARS_cds_5_stat_stem_AT_GC_freq!B9</f>
        <v>56</v>
      </c>
      <c r="G10" s="28">
        <f>[70]PARS_cds_6_stat_stem_AT_GC_freq!B9</f>
        <v>41</v>
      </c>
      <c r="H10" s="28">
        <f>[71]PARS_cds_7_stat_stem_AT_GC_freq!B9</f>
        <v>34</v>
      </c>
      <c r="I10" s="28">
        <f>[72]PARS_cds_8_stat_stem_AT_GC_freq!B9</f>
        <v>32</v>
      </c>
      <c r="J10" s="28">
        <f>[73]PARS_cds_9_stat_stem_AT_GC_freq!B9</f>
        <v>25</v>
      </c>
      <c r="K10" s="28">
        <f>[74]PARS_cds_10_stat_stem_AT_GC_fre!B9</f>
        <v>13</v>
      </c>
      <c r="L10" s="28">
        <f>[75]PARS_cds_11_stat_stem_AT_GC_fre!B9</f>
        <v>11</v>
      </c>
      <c r="M10" s="28">
        <f>[76]PARS_cds_12_stat_stem_AT_GC_fre!B9</f>
        <v>10</v>
      </c>
      <c r="N10" s="28">
        <f>[77]PARS_cds_13_stat_stem_AT_GC_fre!B9</f>
        <v>6</v>
      </c>
      <c r="O10" s="28">
        <f>[78]PARS_cds_14_stat_stem_AT_GC_fre!B9</f>
        <v>6</v>
      </c>
      <c r="P10" s="28">
        <f>[79]PARS_cds_15_stat_stem_AT_GC_fre!B9</f>
        <v>2</v>
      </c>
    </row>
    <row r="11" spans="1:16" x14ac:dyDescent="0.15">
      <c r="A11" s="28" t="s">
        <v>59</v>
      </c>
      <c r="B11" s="28">
        <f>[65]PARS_cds_1_stat_stem_AT_GC_freq!B10</f>
        <v>6</v>
      </c>
      <c r="C11" s="28">
        <f>[66]PARS_cds_2_stat_stem_AT_GC_freq!B10</f>
        <v>44</v>
      </c>
      <c r="D11" s="28">
        <f>[67]PARS_cds_3_stat_stem_AT_GC_freq!B10</f>
        <v>50</v>
      </c>
      <c r="E11" s="28">
        <f>[68]PARS_cds_4_stat_stem_AT_GC_freq!B10</f>
        <v>64</v>
      </c>
      <c r="F11" s="28">
        <f>[69]PARS_cds_5_stat_stem_AT_GC_freq!B10</f>
        <v>88</v>
      </c>
      <c r="G11" s="28">
        <f>[70]PARS_cds_6_stat_stem_AT_GC_freq!B10</f>
        <v>52</v>
      </c>
      <c r="H11" s="28">
        <f>[71]PARS_cds_7_stat_stem_AT_GC_freq!B10</f>
        <v>57</v>
      </c>
      <c r="I11" s="28">
        <f>[72]PARS_cds_8_stat_stem_AT_GC_freq!B10</f>
        <v>50</v>
      </c>
      <c r="J11" s="28">
        <f>[73]PARS_cds_9_stat_stem_AT_GC_freq!B10</f>
        <v>23</v>
      </c>
      <c r="K11" s="28">
        <f>[74]PARS_cds_10_stat_stem_AT_GC_fre!B10</f>
        <v>32</v>
      </c>
      <c r="L11" s="28">
        <f>[75]PARS_cds_11_stat_stem_AT_GC_fre!B10</f>
        <v>19</v>
      </c>
      <c r="M11" s="28">
        <f>[76]PARS_cds_12_stat_stem_AT_GC_fre!B10</f>
        <v>11</v>
      </c>
      <c r="N11" s="28">
        <f>[77]PARS_cds_13_stat_stem_AT_GC_fre!B10</f>
        <v>8</v>
      </c>
      <c r="O11" s="28">
        <f>[78]PARS_cds_14_stat_stem_AT_GC_fre!B10</f>
        <v>7</v>
      </c>
      <c r="P11" s="28">
        <f>[79]PARS_cds_15_stat_stem_AT_GC_fre!B10</f>
        <v>1</v>
      </c>
    </row>
    <row r="12" spans="1:16" x14ac:dyDescent="0.15">
      <c r="A12" s="28" t="s">
        <v>60</v>
      </c>
      <c r="B12" s="28">
        <f>[65]PARS_cds_1_stat_stem_AT_GC_freq!B11</f>
        <v>18</v>
      </c>
      <c r="C12" s="28">
        <f>[66]PARS_cds_2_stat_stem_AT_GC_freq!B11</f>
        <v>102</v>
      </c>
      <c r="D12" s="28">
        <f>[67]PARS_cds_3_stat_stem_AT_GC_freq!B11</f>
        <v>175</v>
      </c>
      <c r="E12" s="28">
        <f>[68]PARS_cds_4_stat_stem_AT_GC_freq!B11</f>
        <v>219</v>
      </c>
      <c r="F12" s="28">
        <f>[69]PARS_cds_5_stat_stem_AT_GC_freq!B11</f>
        <v>190</v>
      </c>
      <c r="G12" s="28">
        <f>[70]PARS_cds_6_stat_stem_AT_GC_freq!B11</f>
        <v>186</v>
      </c>
      <c r="H12" s="28">
        <f>[71]PARS_cds_7_stat_stem_AT_GC_freq!B11</f>
        <v>157</v>
      </c>
      <c r="I12" s="28">
        <f>[72]PARS_cds_8_stat_stem_AT_GC_freq!B11</f>
        <v>116</v>
      </c>
      <c r="J12" s="28">
        <f>[73]PARS_cds_9_stat_stem_AT_GC_freq!B11</f>
        <v>80</v>
      </c>
      <c r="K12" s="28">
        <f>[74]PARS_cds_10_stat_stem_AT_GC_fre!B11</f>
        <v>68</v>
      </c>
      <c r="L12" s="28">
        <f>[75]PARS_cds_11_stat_stem_AT_GC_fre!B11</f>
        <v>55</v>
      </c>
      <c r="M12" s="28">
        <f>[76]PARS_cds_12_stat_stem_AT_GC_fre!B11</f>
        <v>38</v>
      </c>
      <c r="N12" s="28">
        <f>[77]PARS_cds_13_stat_stem_AT_GC_fre!B11</f>
        <v>33</v>
      </c>
      <c r="O12" s="28">
        <f>[78]PARS_cds_14_stat_stem_AT_GC_fre!B11</f>
        <v>18</v>
      </c>
      <c r="P12" s="28">
        <f>[79]PARS_cds_15_stat_stem_AT_GC_fre!B11</f>
        <v>19</v>
      </c>
    </row>
    <row r="13" spans="1:16" x14ac:dyDescent="0.15">
      <c r="A13" s="28" t="s">
        <v>61</v>
      </c>
      <c r="B13" s="28">
        <f t="shared" ref="B13:P13" si="0">SUM(B3:B12)</f>
        <v>98</v>
      </c>
      <c r="C13" s="28">
        <f t="shared" si="0"/>
        <v>605</v>
      </c>
      <c r="D13" s="28">
        <f t="shared" si="0"/>
        <v>1098</v>
      </c>
      <c r="E13" s="28">
        <f t="shared" si="0"/>
        <v>1495</v>
      </c>
      <c r="F13" s="28">
        <f t="shared" si="0"/>
        <v>1564</v>
      </c>
      <c r="G13" s="28">
        <f t="shared" si="0"/>
        <v>1417</v>
      </c>
      <c r="H13" s="28">
        <f t="shared" si="0"/>
        <v>1226</v>
      </c>
      <c r="I13" s="28">
        <f t="shared" si="0"/>
        <v>922</v>
      </c>
      <c r="J13" s="28">
        <f t="shared" si="0"/>
        <v>674</v>
      </c>
      <c r="K13" s="28">
        <f t="shared" si="0"/>
        <v>499</v>
      </c>
      <c r="L13" s="28">
        <f t="shared" si="0"/>
        <v>409</v>
      </c>
      <c r="M13" s="28">
        <f t="shared" si="0"/>
        <v>302</v>
      </c>
      <c r="N13" s="28">
        <f t="shared" si="0"/>
        <v>209</v>
      </c>
      <c r="O13" s="28">
        <f t="shared" si="0"/>
        <v>168</v>
      </c>
      <c r="P13" s="28">
        <f t="shared" si="0"/>
        <v>116</v>
      </c>
    </row>
    <row r="16" spans="1:16" x14ac:dyDescent="0.15">
      <c r="A16" s="28" t="s">
        <v>23</v>
      </c>
      <c r="B16" s="28" t="s">
        <v>24</v>
      </c>
      <c r="C16" s="28" t="s">
        <v>24</v>
      </c>
      <c r="D16" s="28" t="s">
        <v>24</v>
      </c>
      <c r="E16" s="28" t="s">
        <v>24</v>
      </c>
      <c r="F16" s="28" t="s">
        <v>24</v>
      </c>
      <c r="G16" s="28" t="s">
        <v>24</v>
      </c>
      <c r="H16" s="28" t="s">
        <v>24</v>
      </c>
      <c r="I16" s="28" t="s">
        <v>24</v>
      </c>
      <c r="J16" s="28" t="s">
        <v>24</v>
      </c>
      <c r="K16" s="28" t="s">
        <v>24</v>
      </c>
      <c r="L16" s="28" t="s">
        <v>24</v>
      </c>
      <c r="M16" s="28" t="s">
        <v>24</v>
      </c>
      <c r="N16" s="28" t="s">
        <v>24</v>
      </c>
      <c r="O16" s="28" t="s">
        <v>24</v>
      </c>
      <c r="P16" s="28" t="s">
        <v>24</v>
      </c>
    </row>
    <row r="17" spans="1:29" x14ac:dyDescent="0.15">
      <c r="A17" s="28" t="s">
        <v>52</v>
      </c>
      <c r="B17" s="28">
        <f>B3/B$13</f>
        <v>0.36734693877551022</v>
      </c>
      <c r="C17" s="28">
        <f>C3/C$13</f>
        <v>0.44132231404958677</v>
      </c>
      <c r="D17" s="28">
        <f t="shared" ref="D17:K17" si="1">D3/D$13</f>
        <v>0.43989071038251365</v>
      </c>
      <c r="E17" s="28">
        <f t="shared" si="1"/>
        <v>0.47558528428093644</v>
      </c>
      <c r="F17" s="28">
        <f t="shared" si="1"/>
        <v>0.48721227621483376</v>
      </c>
      <c r="G17" s="28">
        <f t="shared" si="1"/>
        <v>0.5194071983062809</v>
      </c>
      <c r="H17" s="28">
        <f t="shared" si="1"/>
        <v>0.49102773246329529</v>
      </c>
      <c r="I17" s="28">
        <f t="shared" si="1"/>
        <v>0.50325379609544474</v>
      </c>
      <c r="J17" s="28">
        <f t="shared" si="1"/>
        <v>0.50593471810089019</v>
      </c>
      <c r="K17" s="28">
        <f t="shared" si="1"/>
        <v>0.5230460921843687</v>
      </c>
      <c r="L17" s="28">
        <f>L3/L$13</f>
        <v>0.51833740831295838</v>
      </c>
      <c r="M17" s="28">
        <f t="shared" ref="M17:P17" si="2">M3/M$13</f>
        <v>0.48013245033112584</v>
      </c>
      <c r="N17" s="28">
        <f t="shared" si="2"/>
        <v>0.51196172248803828</v>
      </c>
      <c r="O17" s="28">
        <f t="shared" si="2"/>
        <v>0.52976190476190477</v>
      </c>
      <c r="P17" s="28">
        <f t="shared" si="2"/>
        <v>0.52586206896551724</v>
      </c>
      <c r="S17" s="28">
        <v>0.36734693877551022</v>
      </c>
      <c r="T17" s="28">
        <v>9.1836734693877556E-2</v>
      </c>
      <c r="U17" s="28">
        <v>3.0612244897959183E-2</v>
      </c>
      <c r="V17" s="28">
        <v>0</v>
      </c>
      <c r="W17" s="28">
        <v>3.0612244897959183E-2</v>
      </c>
      <c r="X17" s="28">
        <v>4.0816326530612242E-2</v>
      </c>
      <c r="Y17" s="28">
        <v>9.1836734693877556E-2</v>
      </c>
      <c r="Z17" s="28">
        <v>0.10204081632653061</v>
      </c>
      <c r="AA17" s="28">
        <v>6.1224489795918366E-2</v>
      </c>
      <c r="AB17" s="28">
        <v>0.18367346938775511</v>
      </c>
      <c r="AC17" s="57">
        <f>327/20</f>
        <v>16.350000000000001</v>
      </c>
    </row>
    <row r="18" spans="1:29" x14ac:dyDescent="0.15">
      <c r="A18" s="28" t="s">
        <v>38</v>
      </c>
      <c r="B18" s="28">
        <f t="shared" ref="B18:P26" si="3">B4/B$13</f>
        <v>9.1836734693877556E-2</v>
      </c>
      <c r="C18" s="28">
        <f t="shared" si="3"/>
        <v>7.1074380165289261E-2</v>
      </c>
      <c r="D18" s="28">
        <f t="shared" si="3"/>
        <v>8.6520947176684876E-2</v>
      </c>
      <c r="E18" s="28">
        <f t="shared" si="3"/>
        <v>8.2274247491638794E-2</v>
      </c>
      <c r="F18" s="28">
        <f t="shared" si="3"/>
        <v>9.718670076726342E-2</v>
      </c>
      <c r="G18" s="28">
        <f t="shared" si="3"/>
        <v>7.0571630204657732E-2</v>
      </c>
      <c r="H18" s="28">
        <f t="shared" si="3"/>
        <v>9.7879282218597069E-2</v>
      </c>
      <c r="I18" s="28">
        <f t="shared" si="3"/>
        <v>8.5683297180043388E-2</v>
      </c>
      <c r="J18" s="28">
        <f t="shared" si="3"/>
        <v>7.2700296735905043E-2</v>
      </c>
      <c r="K18" s="28">
        <f t="shared" si="3"/>
        <v>8.617234468937876E-2</v>
      </c>
      <c r="L18" s="28">
        <f t="shared" si="3"/>
        <v>0.10024449877750612</v>
      </c>
      <c r="M18" s="28">
        <f t="shared" si="3"/>
        <v>8.6092715231788075E-2</v>
      </c>
      <c r="N18" s="28">
        <f t="shared" si="3"/>
        <v>8.6124401913875603E-2</v>
      </c>
      <c r="O18" s="28">
        <f t="shared" si="3"/>
        <v>7.1428571428571425E-2</v>
      </c>
      <c r="P18" s="28">
        <f t="shared" si="3"/>
        <v>0.10344827586206896</v>
      </c>
      <c r="S18" s="28">
        <v>0.44132231404958677</v>
      </c>
      <c r="T18" s="28">
        <v>7.1074380165289261E-2</v>
      </c>
      <c r="U18" s="28">
        <v>5.4545454545454543E-2</v>
      </c>
      <c r="V18" s="28">
        <v>3.4710743801652892E-2</v>
      </c>
      <c r="W18" s="28">
        <v>4.1322314049586778E-2</v>
      </c>
      <c r="X18" s="28">
        <v>3.3057851239669422E-2</v>
      </c>
      <c r="Y18" s="28">
        <v>3.3057851239669422E-2</v>
      </c>
      <c r="Z18" s="28">
        <v>4.9586776859504134E-2</v>
      </c>
      <c r="AA18" s="28">
        <v>7.2727272727272724E-2</v>
      </c>
      <c r="AB18" s="28">
        <v>0.16859504132231404</v>
      </c>
      <c r="AC18" s="28">
        <f>234/25</f>
        <v>9.36</v>
      </c>
    </row>
    <row r="19" spans="1:29" x14ac:dyDescent="0.15">
      <c r="A19" s="28" t="s">
        <v>53</v>
      </c>
      <c r="B19" s="28">
        <f t="shared" si="3"/>
        <v>3.0612244897959183E-2</v>
      </c>
      <c r="C19" s="28">
        <f t="shared" si="3"/>
        <v>5.4545454545454543E-2</v>
      </c>
      <c r="D19" s="28">
        <f t="shared" si="3"/>
        <v>5.1001821493624776E-2</v>
      </c>
      <c r="E19" s="28">
        <f t="shared" si="3"/>
        <v>5.2842809364548493E-2</v>
      </c>
      <c r="F19" s="28">
        <f t="shared" si="3"/>
        <v>5.5626598465473145E-2</v>
      </c>
      <c r="G19" s="28">
        <f t="shared" si="3"/>
        <v>6.2808750882145381E-2</v>
      </c>
      <c r="H19" s="28">
        <f t="shared" si="3"/>
        <v>5.6280587275693308E-2</v>
      </c>
      <c r="I19" s="28">
        <f t="shared" si="3"/>
        <v>4.2299349240780909E-2</v>
      </c>
      <c r="J19" s="28">
        <f t="shared" si="3"/>
        <v>6.9732937685459948E-2</v>
      </c>
      <c r="K19" s="28">
        <f t="shared" si="3"/>
        <v>4.2084168336673347E-2</v>
      </c>
      <c r="L19" s="28">
        <f t="shared" si="3"/>
        <v>5.623471882640587E-2</v>
      </c>
      <c r="M19" s="28">
        <f t="shared" si="3"/>
        <v>6.9536423841059597E-2</v>
      </c>
      <c r="N19" s="28">
        <f t="shared" si="3"/>
        <v>4.3062200956937802E-2</v>
      </c>
      <c r="O19" s="28">
        <f t="shared" si="3"/>
        <v>6.5476190476190479E-2</v>
      </c>
      <c r="P19" s="28">
        <f t="shared" si="3"/>
        <v>6.8965517241379309E-2</v>
      </c>
      <c r="S19" s="28">
        <v>0.43989071038251365</v>
      </c>
      <c r="T19" s="28">
        <v>8.6520947176684876E-2</v>
      </c>
      <c r="U19" s="28">
        <v>5.1001821493624776E-2</v>
      </c>
      <c r="V19" s="28">
        <v>3.825136612021858E-2</v>
      </c>
      <c r="W19" s="28">
        <v>5.9198542805100181E-2</v>
      </c>
      <c r="X19" s="28">
        <v>4.1894353369763208E-2</v>
      </c>
      <c r="Y19" s="28">
        <v>3.4608378870673952E-2</v>
      </c>
      <c r="Z19" s="28">
        <v>4.3715846994535519E-2</v>
      </c>
      <c r="AA19" s="28">
        <v>4.553734061930783E-2</v>
      </c>
      <c r="AB19" s="28">
        <v>0.15938069216757741</v>
      </c>
      <c r="AC19" s="28">
        <f>151/20</f>
        <v>7.55</v>
      </c>
    </row>
    <row r="20" spans="1:29" x14ac:dyDescent="0.15">
      <c r="A20" s="28" t="s">
        <v>54</v>
      </c>
      <c r="B20" s="28">
        <f t="shared" si="3"/>
        <v>0</v>
      </c>
      <c r="C20" s="28">
        <f t="shared" si="3"/>
        <v>3.4710743801652892E-2</v>
      </c>
      <c r="D20" s="28">
        <f t="shared" si="3"/>
        <v>3.825136612021858E-2</v>
      </c>
      <c r="E20" s="28">
        <f t="shared" si="3"/>
        <v>4.0133779264214048E-2</v>
      </c>
      <c r="F20" s="28">
        <f t="shared" si="3"/>
        <v>3.7723785166240406E-2</v>
      </c>
      <c r="G20" s="28">
        <f t="shared" si="3"/>
        <v>4.5871559633027525E-2</v>
      </c>
      <c r="H20" s="28">
        <f t="shared" si="3"/>
        <v>3.588907014681892E-2</v>
      </c>
      <c r="I20" s="28">
        <f t="shared" si="3"/>
        <v>3.9045553145336226E-2</v>
      </c>
      <c r="J20" s="28">
        <f t="shared" si="3"/>
        <v>4.5994065281899109E-2</v>
      </c>
      <c r="K20" s="28">
        <f t="shared" si="3"/>
        <v>4.0080160320641281E-2</v>
      </c>
      <c r="L20" s="28">
        <f t="shared" si="3"/>
        <v>4.6454767726161368E-2</v>
      </c>
      <c r="M20" s="28">
        <f t="shared" si="3"/>
        <v>4.9668874172185427E-2</v>
      </c>
      <c r="N20" s="28">
        <f t="shared" si="3"/>
        <v>3.3492822966507178E-2</v>
      </c>
      <c r="O20" s="28">
        <f t="shared" si="3"/>
        <v>7.1428571428571425E-2</v>
      </c>
      <c r="P20" s="28">
        <f t="shared" si="3"/>
        <v>3.4482758620689655E-2</v>
      </c>
      <c r="S20" s="28">
        <v>0.47558528428093644</v>
      </c>
      <c r="T20" s="28">
        <v>8.2274247491638794E-2</v>
      </c>
      <c r="U20" s="28">
        <v>5.2842809364548493E-2</v>
      </c>
      <c r="V20" s="28">
        <v>4.0133779264214048E-2</v>
      </c>
      <c r="W20" s="28">
        <v>4.2809364548494981E-2</v>
      </c>
      <c r="X20" s="28">
        <v>4.4816053511705686E-2</v>
      </c>
      <c r="Y20" s="28">
        <v>3.4782608695652174E-2</v>
      </c>
      <c r="Z20" s="28">
        <v>3.7458193979933108E-2</v>
      </c>
      <c r="AA20" s="28">
        <v>4.2809364548494981E-2</v>
      </c>
      <c r="AB20" s="28">
        <v>0.14648829431438126</v>
      </c>
      <c r="AC20" s="28">
        <f>389/100</f>
        <v>3.89</v>
      </c>
    </row>
    <row r="21" spans="1:29" x14ac:dyDescent="0.15">
      <c r="A21" s="28" t="s">
        <v>55</v>
      </c>
      <c r="B21" s="28">
        <f t="shared" si="3"/>
        <v>3.0612244897959183E-2</v>
      </c>
      <c r="C21" s="28">
        <f t="shared" si="3"/>
        <v>4.1322314049586778E-2</v>
      </c>
      <c r="D21" s="28">
        <f t="shared" si="3"/>
        <v>5.9198542805100181E-2</v>
      </c>
      <c r="E21" s="28">
        <f t="shared" si="3"/>
        <v>4.2809364548494981E-2</v>
      </c>
      <c r="F21" s="28">
        <f t="shared" si="3"/>
        <v>3.6445012787723788E-2</v>
      </c>
      <c r="G21" s="28">
        <f t="shared" si="3"/>
        <v>3.8814396612561752E-2</v>
      </c>
      <c r="H21" s="28">
        <f t="shared" si="3"/>
        <v>4.4045676998368678E-2</v>
      </c>
      <c r="I21" s="28">
        <f t="shared" si="3"/>
        <v>4.5553145336225599E-2</v>
      </c>
      <c r="J21" s="28">
        <f t="shared" si="3"/>
        <v>4.7477744807121663E-2</v>
      </c>
      <c r="K21" s="28">
        <f t="shared" si="3"/>
        <v>2.6052104208416832E-2</v>
      </c>
      <c r="L21" s="28">
        <f t="shared" si="3"/>
        <v>2.6894865525672371E-2</v>
      </c>
      <c r="M21" s="28">
        <f t="shared" si="3"/>
        <v>3.9735099337748346E-2</v>
      </c>
      <c r="N21" s="28">
        <f t="shared" si="3"/>
        <v>5.2631578947368418E-2</v>
      </c>
      <c r="O21" s="28">
        <f t="shared" si="3"/>
        <v>1.7857142857142856E-2</v>
      </c>
      <c r="P21" s="28">
        <f t="shared" si="3"/>
        <v>3.4482758620689655E-2</v>
      </c>
      <c r="S21" s="28">
        <v>0.48721227621483376</v>
      </c>
      <c r="T21" s="28">
        <v>9.718670076726342E-2</v>
      </c>
      <c r="U21" s="28">
        <v>5.5626598465473145E-2</v>
      </c>
      <c r="V21" s="28">
        <v>3.7723785166240406E-2</v>
      </c>
      <c r="W21" s="28">
        <v>3.6445012787723788E-2</v>
      </c>
      <c r="X21" s="28">
        <v>4.0920716112531973E-2</v>
      </c>
      <c r="Y21" s="28">
        <v>3.1329923273657287E-2</v>
      </c>
      <c r="Z21" s="28">
        <v>3.5805626598465472E-2</v>
      </c>
      <c r="AA21" s="28">
        <v>5.6265984654731455E-2</v>
      </c>
      <c r="AB21" s="28">
        <v>0.12148337595907928</v>
      </c>
      <c r="AC21" s="28">
        <f>63/25</f>
        <v>2.52</v>
      </c>
    </row>
    <row r="22" spans="1:29" x14ac:dyDescent="0.15">
      <c r="A22" s="28" t="s">
        <v>56</v>
      </c>
      <c r="B22" s="28">
        <f t="shared" si="3"/>
        <v>4.0816326530612242E-2</v>
      </c>
      <c r="C22" s="28">
        <f t="shared" si="3"/>
        <v>3.3057851239669422E-2</v>
      </c>
      <c r="D22" s="28">
        <f t="shared" si="3"/>
        <v>4.1894353369763208E-2</v>
      </c>
      <c r="E22" s="28">
        <f t="shared" si="3"/>
        <v>4.4816053511705686E-2</v>
      </c>
      <c r="F22" s="28">
        <f t="shared" si="3"/>
        <v>4.0920716112531973E-2</v>
      </c>
      <c r="G22" s="28">
        <f t="shared" si="3"/>
        <v>3.5991531404375443E-2</v>
      </c>
      <c r="H22" s="28">
        <f t="shared" si="3"/>
        <v>4.5676998368678633E-2</v>
      </c>
      <c r="I22" s="28">
        <f t="shared" si="3"/>
        <v>4.2299349240780909E-2</v>
      </c>
      <c r="J22" s="28">
        <f t="shared" si="3"/>
        <v>3.7091988130563795E-2</v>
      </c>
      <c r="K22" s="28">
        <f t="shared" si="3"/>
        <v>3.0060120240480961E-2</v>
      </c>
      <c r="L22" s="28">
        <f t="shared" si="3"/>
        <v>1.9559902200488997E-2</v>
      </c>
      <c r="M22" s="28">
        <f t="shared" si="3"/>
        <v>5.2980132450331126E-2</v>
      </c>
      <c r="N22" s="28">
        <f t="shared" si="3"/>
        <v>1.4354066985645933E-2</v>
      </c>
      <c r="O22" s="28">
        <f t="shared" si="3"/>
        <v>1.1904761904761904E-2</v>
      </c>
      <c r="P22" s="28">
        <f t="shared" si="3"/>
        <v>2.5862068965517241E-2</v>
      </c>
      <c r="S22" s="28">
        <v>0.5194071983062809</v>
      </c>
      <c r="T22" s="28">
        <v>7.0571630204657732E-2</v>
      </c>
      <c r="U22" s="28">
        <v>6.2808750882145381E-2</v>
      </c>
      <c r="V22" s="28">
        <v>4.5871559633027525E-2</v>
      </c>
      <c r="W22" s="28">
        <v>3.8814396612561752E-2</v>
      </c>
      <c r="X22" s="28">
        <v>3.5991531404375443E-2</v>
      </c>
      <c r="Y22" s="28">
        <v>2.9640084685956247E-2</v>
      </c>
      <c r="Z22" s="28">
        <v>2.893436838390967E-2</v>
      </c>
      <c r="AA22" s="28">
        <v>3.669724770642202E-2</v>
      </c>
      <c r="AB22" s="28">
        <v>0.13126323218066338</v>
      </c>
      <c r="AC22" s="28">
        <f>31/20</f>
        <v>1.55</v>
      </c>
    </row>
    <row r="23" spans="1:29" x14ac:dyDescent="0.15">
      <c r="A23" s="28" t="s">
        <v>57</v>
      </c>
      <c r="B23" s="28">
        <f t="shared" si="3"/>
        <v>9.1836734693877556E-2</v>
      </c>
      <c r="C23" s="28">
        <f t="shared" si="3"/>
        <v>3.3057851239669422E-2</v>
      </c>
      <c r="D23" s="28">
        <f t="shared" si="3"/>
        <v>3.4608378870673952E-2</v>
      </c>
      <c r="E23" s="28">
        <f t="shared" si="3"/>
        <v>3.4782608695652174E-2</v>
      </c>
      <c r="F23" s="28">
        <f t="shared" si="3"/>
        <v>3.1329923273657287E-2</v>
      </c>
      <c r="G23" s="28">
        <f t="shared" si="3"/>
        <v>2.9640084685956247E-2</v>
      </c>
      <c r="H23" s="28">
        <f t="shared" si="3"/>
        <v>2.6916802610114192E-2</v>
      </c>
      <c r="I23" s="28">
        <f t="shared" si="3"/>
        <v>2.7114967462039046E-2</v>
      </c>
      <c r="J23" s="28">
        <f t="shared" si="3"/>
        <v>3.1157270029673591E-2</v>
      </c>
      <c r="K23" s="28">
        <f t="shared" si="3"/>
        <v>2.6052104208416832E-2</v>
      </c>
      <c r="L23" s="28">
        <f t="shared" si="3"/>
        <v>2.4449877750611249E-2</v>
      </c>
      <c r="M23" s="28">
        <f t="shared" si="3"/>
        <v>2.6490066225165563E-2</v>
      </c>
      <c r="N23" s="28">
        <f t="shared" si="3"/>
        <v>3.3492822966507178E-2</v>
      </c>
      <c r="O23" s="28">
        <f t="shared" si="3"/>
        <v>4.7619047619047616E-2</v>
      </c>
      <c r="P23" s="28">
        <f t="shared" si="3"/>
        <v>1.7241379310344827E-2</v>
      </c>
      <c r="S23" s="28">
        <v>0.49102773246329529</v>
      </c>
      <c r="T23" s="28">
        <v>9.7879282218597069E-2</v>
      </c>
      <c r="U23" s="28">
        <v>5.6280587275693308E-2</v>
      </c>
      <c r="V23" s="28">
        <v>3.588907014681892E-2</v>
      </c>
      <c r="W23" s="28">
        <v>4.4045676998368678E-2</v>
      </c>
      <c r="X23" s="28">
        <v>4.5676998368678633E-2</v>
      </c>
      <c r="Y23" s="28">
        <v>2.6916802610114192E-2</v>
      </c>
      <c r="Z23" s="28">
        <v>2.7732463295269169E-2</v>
      </c>
      <c r="AA23" s="28">
        <v>4.6492659053833603E-2</v>
      </c>
      <c r="AB23" s="28">
        <v>0.12805872756933115</v>
      </c>
      <c r="AC23" s="28">
        <f>231/100</f>
        <v>2.31</v>
      </c>
    </row>
    <row r="24" spans="1:29" x14ac:dyDescent="0.15">
      <c r="A24" s="28" t="s">
        <v>58</v>
      </c>
      <c r="B24" s="28">
        <f t="shared" si="3"/>
        <v>0.10204081632653061</v>
      </c>
      <c r="C24" s="28">
        <f t="shared" si="3"/>
        <v>4.9586776859504134E-2</v>
      </c>
      <c r="D24" s="28">
        <f t="shared" si="3"/>
        <v>4.3715846994535519E-2</v>
      </c>
      <c r="E24" s="28">
        <f t="shared" si="3"/>
        <v>3.7458193979933108E-2</v>
      </c>
      <c r="F24" s="28">
        <f t="shared" si="3"/>
        <v>3.5805626598465472E-2</v>
      </c>
      <c r="G24" s="28">
        <f t="shared" si="3"/>
        <v>2.893436838390967E-2</v>
      </c>
      <c r="H24" s="28">
        <f t="shared" si="3"/>
        <v>2.7732463295269169E-2</v>
      </c>
      <c r="I24" s="28">
        <f t="shared" si="3"/>
        <v>3.4707158351409979E-2</v>
      </c>
      <c r="J24" s="28">
        <f t="shared" si="3"/>
        <v>3.7091988130563795E-2</v>
      </c>
      <c r="K24" s="28">
        <f t="shared" si="3"/>
        <v>2.6052104208416832E-2</v>
      </c>
      <c r="L24" s="28">
        <f t="shared" si="3"/>
        <v>2.6894865525672371E-2</v>
      </c>
      <c r="M24" s="28">
        <f t="shared" si="3"/>
        <v>3.3112582781456956E-2</v>
      </c>
      <c r="N24" s="28">
        <f t="shared" si="3"/>
        <v>2.8708133971291867E-2</v>
      </c>
      <c r="O24" s="28">
        <f t="shared" si="3"/>
        <v>3.5714285714285712E-2</v>
      </c>
      <c r="P24" s="28">
        <f t="shared" si="3"/>
        <v>1.7241379310344827E-2</v>
      </c>
      <c r="S24" s="28">
        <v>0.50325379609544474</v>
      </c>
      <c r="T24" s="28">
        <v>8.5683297180043388E-2</v>
      </c>
      <c r="U24" s="28">
        <v>4.2299349240780909E-2</v>
      </c>
      <c r="V24" s="28">
        <v>3.9045553145336226E-2</v>
      </c>
      <c r="W24" s="28">
        <v>4.5553145336225599E-2</v>
      </c>
      <c r="X24" s="28">
        <v>4.2299349240780909E-2</v>
      </c>
      <c r="Y24" s="28">
        <v>2.7114967462039046E-2</v>
      </c>
      <c r="Z24" s="28">
        <v>3.4707158351409979E-2</v>
      </c>
      <c r="AA24" s="28">
        <v>5.4229934924078092E-2</v>
      </c>
      <c r="AB24" s="28">
        <v>0.12581344902386118</v>
      </c>
      <c r="AC24" s="28">
        <f>211/100</f>
        <v>2.11</v>
      </c>
    </row>
    <row r="25" spans="1:29" x14ac:dyDescent="0.15">
      <c r="A25" s="28" t="s">
        <v>59</v>
      </c>
      <c r="B25" s="28">
        <f t="shared" si="3"/>
        <v>6.1224489795918366E-2</v>
      </c>
      <c r="C25" s="28">
        <f t="shared" si="3"/>
        <v>7.2727272727272724E-2</v>
      </c>
      <c r="D25" s="28">
        <f t="shared" si="3"/>
        <v>4.553734061930783E-2</v>
      </c>
      <c r="E25" s="28">
        <f t="shared" si="3"/>
        <v>4.2809364548494981E-2</v>
      </c>
      <c r="F25" s="28">
        <f t="shared" si="3"/>
        <v>5.6265984654731455E-2</v>
      </c>
      <c r="G25" s="28">
        <f t="shared" si="3"/>
        <v>3.669724770642202E-2</v>
      </c>
      <c r="H25" s="28">
        <f t="shared" si="3"/>
        <v>4.6492659053833603E-2</v>
      </c>
      <c r="I25" s="28">
        <f t="shared" si="3"/>
        <v>5.4229934924078092E-2</v>
      </c>
      <c r="J25" s="28">
        <f t="shared" si="3"/>
        <v>3.4124629080118693E-2</v>
      </c>
      <c r="K25" s="28">
        <f t="shared" si="3"/>
        <v>6.4128256513026047E-2</v>
      </c>
      <c r="L25" s="28">
        <f t="shared" si="3"/>
        <v>4.6454767726161368E-2</v>
      </c>
      <c r="M25" s="28">
        <f t="shared" si="3"/>
        <v>3.6423841059602648E-2</v>
      </c>
      <c r="N25" s="28">
        <f t="shared" si="3"/>
        <v>3.8277511961722487E-2</v>
      </c>
      <c r="O25" s="28">
        <f t="shared" si="3"/>
        <v>4.1666666666666664E-2</v>
      </c>
      <c r="P25" s="28">
        <f t="shared" si="3"/>
        <v>8.6206896551724137E-3</v>
      </c>
      <c r="S25" s="28">
        <v>0.50593471810089019</v>
      </c>
      <c r="T25" s="28">
        <v>7.2700296735905043E-2</v>
      </c>
      <c r="U25" s="28">
        <v>6.9732937685459948E-2</v>
      </c>
      <c r="V25" s="28">
        <v>4.5994065281899109E-2</v>
      </c>
      <c r="W25" s="28">
        <v>4.7477744807121663E-2</v>
      </c>
      <c r="X25" s="28">
        <v>3.7091988130563795E-2</v>
      </c>
      <c r="Y25" s="28">
        <v>3.1157270029673591E-2</v>
      </c>
      <c r="Z25" s="28">
        <v>3.7091988130563795E-2</v>
      </c>
      <c r="AA25" s="28">
        <v>3.4124629080118693E-2</v>
      </c>
      <c r="AB25" s="28">
        <v>0.11869436201780416</v>
      </c>
      <c r="AC25" s="28">
        <f>187/100</f>
        <v>1.87</v>
      </c>
    </row>
    <row r="26" spans="1:29" x14ac:dyDescent="0.15">
      <c r="A26" s="28" t="s">
        <v>60</v>
      </c>
      <c r="B26" s="28">
        <f t="shared" si="3"/>
        <v>0.18367346938775511</v>
      </c>
      <c r="C26" s="28">
        <f t="shared" si="3"/>
        <v>0.16859504132231404</v>
      </c>
      <c r="D26" s="28">
        <f t="shared" si="3"/>
        <v>0.15938069216757741</v>
      </c>
      <c r="E26" s="28">
        <f t="shared" si="3"/>
        <v>0.14648829431438126</v>
      </c>
      <c r="F26" s="28">
        <f t="shared" si="3"/>
        <v>0.12148337595907928</v>
      </c>
      <c r="G26" s="28">
        <f t="shared" si="3"/>
        <v>0.13126323218066338</v>
      </c>
      <c r="H26" s="28">
        <f t="shared" si="3"/>
        <v>0.12805872756933115</v>
      </c>
      <c r="I26" s="28">
        <f t="shared" si="3"/>
        <v>0.12581344902386118</v>
      </c>
      <c r="J26" s="28">
        <f t="shared" si="3"/>
        <v>0.11869436201780416</v>
      </c>
      <c r="K26" s="28">
        <f t="shared" si="3"/>
        <v>0.13627254509018036</v>
      </c>
      <c r="L26" s="28">
        <f t="shared" si="3"/>
        <v>0.13447432762836187</v>
      </c>
      <c r="M26" s="28">
        <f t="shared" si="3"/>
        <v>0.12582781456953643</v>
      </c>
      <c r="N26" s="28">
        <f t="shared" si="3"/>
        <v>0.15789473684210525</v>
      </c>
      <c r="O26" s="28">
        <f t="shared" si="3"/>
        <v>0.10714285714285714</v>
      </c>
      <c r="P26" s="28">
        <f t="shared" si="3"/>
        <v>0.16379310344827586</v>
      </c>
      <c r="S26" s="28">
        <v>0.5230460921843687</v>
      </c>
      <c r="T26" s="28">
        <v>8.617234468937876E-2</v>
      </c>
      <c r="U26" s="28">
        <v>4.2084168336673347E-2</v>
      </c>
      <c r="V26" s="28">
        <v>4.0080160320641281E-2</v>
      </c>
      <c r="W26" s="28">
        <v>2.6052104208416832E-2</v>
      </c>
      <c r="X26" s="28">
        <v>3.0060120240480961E-2</v>
      </c>
      <c r="Y26" s="28">
        <v>2.6052104208416832E-2</v>
      </c>
      <c r="Z26" s="28">
        <v>2.6052104208416832E-2</v>
      </c>
      <c r="AA26" s="28">
        <v>6.4128256513026047E-2</v>
      </c>
      <c r="AB26" s="28">
        <v>0.13627254509018036</v>
      </c>
      <c r="AC26" s="28">
        <f>81/50</f>
        <v>1.62</v>
      </c>
    </row>
    <row r="27" spans="1:29" x14ac:dyDescent="0.15">
      <c r="A27" s="28" t="s">
        <v>78</v>
      </c>
      <c r="B27" s="28">
        <f>$AC17</f>
        <v>16.350000000000001</v>
      </c>
      <c r="C27" s="57">
        <f>$AC18</f>
        <v>9.36</v>
      </c>
      <c r="D27" s="57">
        <f>$AC19</f>
        <v>7.55</v>
      </c>
      <c r="E27" s="57">
        <f>$AC20</f>
        <v>3.89</v>
      </c>
      <c r="F27" s="57">
        <f>$AC21</f>
        <v>2.52</v>
      </c>
      <c r="G27" s="57">
        <f>$AC22</f>
        <v>1.55</v>
      </c>
      <c r="H27" s="57">
        <f>$AC23</f>
        <v>2.31</v>
      </c>
      <c r="I27" s="57">
        <f>$AC24</f>
        <v>2.11</v>
      </c>
      <c r="J27" s="57">
        <f>$AC25</f>
        <v>1.87</v>
      </c>
      <c r="K27" s="57">
        <f>$AC26</f>
        <v>1.62</v>
      </c>
      <c r="L27" s="57">
        <f>$AC27</f>
        <v>1.49</v>
      </c>
      <c r="M27" s="57">
        <f>$AC28</f>
        <v>2.59</v>
      </c>
      <c r="N27" s="57">
        <f>$AC29</f>
        <v>1.96</v>
      </c>
      <c r="O27" s="57">
        <f>$AC30</f>
        <v>1.2</v>
      </c>
      <c r="P27" s="57">
        <f>$AC31</f>
        <v>1.25</v>
      </c>
      <c r="S27" s="28">
        <v>0.51833740831295838</v>
      </c>
      <c r="T27" s="28">
        <v>0.10024449877750612</v>
      </c>
      <c r="U27" s="28">
        <v>5.623471882640587E-2</v>
      </c>
      <c r="V27" s="28">
        <v>4.6454767726161368E-2</v>
      </c>
      <c r="W27" s="28">
        <v>2.6894865525672371E-2</v>
      </c>
      <c r="X27" s="28">
        <v>1.9559902200488997E-2</v>
      </c>
      <c r="Y27" s="28">
        <v>2.4449877750611249E-2</v>
      </c>
      <c r="Z27" s="28">
        <v>2.6894865525672371E-2</v>
      </c>
      <c r="AA27" s="28">
        <v>4.6454767726161368E-2</v>
      </c>
      <c r="AB27" s="28">
        <v>0.13447432762836187</v>
      </c>
      <c r="AC27" s="28">
        <f>149/100</f>
        <v>1.49</v>
      </c>
    </row>
    <row r="28" spans="1:29" x14ac:dyDescent="0.15">
      <c r="S28" s="28">
        <v>0.48013245033112584</v>
      </c>
      <c r="T28" s="28">
        <v>8.6092715231788075E-2</v>
      </c>
      <c r="U28" s="28">
        <v>6.9536423841059597E-2</v>
      </c>
      <c r="V28" s="28">
        <v>4.9668874172185427E-2</v>
      </c>
      <c r="W28" s="28">
        <v>3.9735099337748346E-2</v>
      </c>
      <c r="X28" s="28">
        <v>5.2980132450331126E-2</v>
      </c>
      <c r="Y28" s="28">
        <v>2.6490066225165563E-2</v>
      </c>
      <c r="Z28" s="28">
        <v>3.3112582781456956E-2</v>
      </c>
      <c r="AA28" s="28">
        <v>3.6423841059602648E-2</v>
      </c>
      <c r="AB28" s="28">
        <v>0.12582781456953643</v>
      </c>
      <c r="AC28" s="28">
        <f>259/100</f>
        <v>2.59</v>
      </c>
    </row>
    <row r="29" spans="1:29" x14ac:dyDescent="0.15">
      <c r="S29" s="28">
        <v>0.51196172248803828</v>
      </c>
      <c r="T29" s="28">
        <v>8.6124401913875603E-2</v>
      </c>
      <c r="U29" s="28">
        <v>4.3062200956937802E-2</v>
      </c>
      <c r="V29" s="28">
        <v>3.3492822966507178E-2</v>
      </c>
      <c r="W29" s="28">
        <v>5.2631578947368418E-2</v>
      </c>
      <c r="X29" s="28">
        <v>1.4354066985645933E-2</v>
      </c>
      <c r="Y29" s="28">
        <v>3.3492822966507178E-2</v>
      </c>
      <c r="Z29" s="28">
        <v>2.8708133971291867E-2</v>
      </c>
      <c r="AA29" s="28">
        <v>3.8277511961722487E-2</v>
      </c>
      <c r="AB29" s="28">
        <v>0.15789473684210525</v>
      </c>
      <c r="AC29" s="28">
        <f>49/25</f>
        <v>1.96</v>
      </c>
    </row>
    <row r="30" spans="1:29" x14ac:dyDescent="0.15">
      <c r="S30" s="28">
        <v>0.52976190476190477</v>
      </c>
      <c r="T30" s="28">
        <v>7.1428571428571425E-2</v>
      </c>
      <c r="U30" s="28">
        <v>6.5476190476190479E-2</v>
      </c>
      <c r="V30" s="28">
        <v>7.1428571428571425E-2</v>
      </c>
      <c r="W30" s="28">
        <v>1.7857142857142856E-2</v>
      </c>
      <c r="X30" s="28">
        <v>1.1904761904761904E-2</v>
      </c>
      <c r="Y30" s="28">
        <v>4.7619047619047616E-2</v>
      </c>
      <c r="Z30" s="28">
        <v>3.5714285714285712E-2</v>
      </c>
      <c r="AA30" s="28">
        <v>4.1666666666666664E-2</v>
      </c>
      <c r="AB30" s="28">
        <v>0.10714285714285714</v>
      </c>
      <c r="AC30" s="28">
        <f>6/5</f>
        <v>1.2</v>
      </c>
    </row>
    <row r="31" spans="1:29" x14ac:dyDescent="0.15">
      <c r="S31" s="28">
        <v>0.52586206896551724</v>
      </c>
      <c r="T31" s="28">
        <v>0.10344827586206896</v>
      </c>
      <c r="U31" s="28">
        <v>6.8965517241379309E-2</v>
      </c>
      <c r="V31" s="28">
        <v>3.4482758620689655E-2</v>
      </c>
      <c r="W31" s="28">
        <v>3.4482758620689655E-2</v>
      </c>
      <c r="X31" s="28">
        <v>2.5862068965517241E-2</v>
      </c>
      <c r="Y31" s="28">
        <v>1.7241379310344827E-2</v>
      </c>
      <c r="Z31" s="28">
        <v>1.7241379310344827E-2</v>
      </c>
      <c r="AA31" s="28">
        <v>8.6206896551724137E-3</v>
      </c>
      <c r="AB31" s="28">
        <v>0.16379310344827586</v>
      </c>
      <c r="AC31" s="28">
        <f>5/4</f>
        <v>1.25</v>
      </c>
    </row>
    <row r="66" spans="1:16" x14ac:dyDescent="0.15">
      <c r="A66" s="27"/>
      <c r="B66" s="23" t="s">
        <v>346</v>
      </c>
      <c r="C66" s="23" t="s">
        <v>79</v>
      </c>
      <c r="D66" s="23" t="s">
        <v>80</v>
      </c>
      <c r="E66" s="23" t="s">
        <v>81</v>
      </c>
      <c r="F66" s="23" t="s">
        <v>82</v>
      </c>
      <c r="G66" s="23" t="s">
        <v>83</v>
      </c>
      <c r="H66" s="23" t="s">
        <v>84</v>
      </c>
      <c r="I66" s="23" t="s">
        <v>85</v>
      </c>
      <c r="J66" s="23" t="s">
        <v>86</v>
      </c>
      <c r="K66" s="23" t="s">
        <v>87</v>
      </c>
      <c r="L66" s="23" t="s">
        <v>88</v>
      </c>
      <c r="M66" s="23" t="s">
        <v>89</v>
      </c>
      <c r="N66" s="23" t="s">
        <v>90</v>
      </c>
      <c r="O66" s="23" t="s">
        <v>91</v>
      </c>
      <c r="P66" s="23" t="s">
        <v>92</v>
      </c>
    </row>
    <row r="67" spans="1:16" x14ac:dyDescent="0.15">
      <c r="A67" s="28" t="s">
        <v>23</v>
      </c>
      <c r="B67" s="28" t="s">
        <v>31</v>
      </c>
      <c r="C67" s="28" t="s">
        <v>31</v>
      </c>
      <c r="D67" s="28" t="s">
        <v>31</v>
      </c>
      <c r="E67" s="28" t="s">
        <v>31</v>
      </c>
      <c r="F67" s="28" t="s">
        <v>31</v>
      </c>
      <c r="G67" s="28" t="s">
        <v>31</v>
      </c>
      <c r="H67" s="28" t="s">
        <v>31</v>
      </c>
      <c r="I67" s="28" t="s">
        <v>31</v>
      </c>
      <c r="J67" s="28" t="s">
        <v>31</v>
      </c>
      <c r="K67" s="28" t="s">
        <v>31</v>
      </c>
      <c r="L67" s="28" t="s">
        <v>31</v>
      </c>
      <c r="M67" s="28" t="s">
        <v>31</v>
      </c>
      <c r="N67" s="28" t="s">
        <v>31</v>
      </c>
      <c r="O67" s="28" t="s">
        <v>31</v>
      </c>
      <c r="P67" s="28" t="s">
        <v>31</v>
      </c>
    </row>
    <row r="68" spans="1:16" x14ac:dyDescent="0.15">
      <c r="A68" s="28" t="s">
        <v>52</v>
      </c>
      <c r="B68" s="28">
        <f>[80]PARS_cds_1_stat_stem_GC_AT_freq!B2</f>
        <v>117</v>
      </c>
      <c r="C68" s="28">
        <f>[81]PARS_cds_2_stat_stem_GC_AT_freq!B2</f>
        <v>511</v>
      </c>
      <c r="D68" s="28">
        <f>[82]PARS_cds_3_stat_stem_GC_AT_freq!B2</f>
        <v>939</v>
      </c>
      <c r="E68" s="28">
        <f>[83]PARS_cds_4_stat_stem_GC_AT_freq!B2</f>
        <v>1086</v>
      </c>
      <c r="F68" s="28">
        <f>[84]PARS_cds_5_stat_stem_GC_AT_freq!B2</f>
        <v>1031</v>
      </c>
      <c r="G68" s="28">
        <f>[85]PARS_cds_6_stat_stem_GC_AT_freq!B2</f>
        <v>959</v>
      </c>
      <c r="H68" s="28">
        <f>[86]PARS_cds_7_stat_stem_GC_AT_freq!B2</f>
        <v>709</v>
      </c>
      <c r="I68" s="28">
        <f>[87]PARS_cds_8_stat_stem_GC_AT_freq!B2</f>
        <v>572</v>
      </c>
      <c r="J68" s="28">
        <f>[88]PARS_cds_9_stat_stem_GC_AT_freq!B2</f>
        <v>402</v>
      </c>
      <c r="K68" s="28">
        <f>[89]PARS_cds_10_stat_stem_GC_AT_fre!B2</f>
        <v>295</v>
      </c>
      <c r="L68" s="28">
        <f>[90]PARS_cds_11_stat_stem_GC_AT_fre!B2</f>
        <v>274</v>
      </c>
      <c r="M68" s="28">
        <f>[91]PARS_cds_12_stat_stem_GC_AT_fre!B2</f>
        <v>192</v>
      </c>
      <c r="N68" s="28">
        <f>[92]PARS_cds_13_stat_stem_GC_AT_fre!B2</f>
        <v>130</v>
      </c>
      <c r="O68" s="28">
        <f>[93]PARS_cds_14_stat_stem_GC_AT_fre!B2</f>
        <v>89</v>
      </c>
      <c r="P68" s="28">
        <f>[94]PARS_cds_15_stat_stem_GC_AT_fre!B2</f>
        <v>52</v>
      </c>
    </row>
    <row r="69" spans="1:16" x14ac:dyDescent="0.15">
      <c r="A69" s="28" t="s">
        <v>38</v>
      </c>
      <c r="B69" s="28">
        <f>[80]PARS_cds_1_stat_stem_GC_AT_freq!B3</f>
        <v>18</v>
      </c>
      <c r="C69" s="28">
        <f>[81]PARS_cds_2_stat_stem_GC_AT_freq!B3</f>
        <v>79</v>
      </c>
      <c r="D69" s="28">
        <f>[82]PARS_cds_3_stat_stem_GC_AT_freq!B3</f>
        <v>122</v>
      </c>
      <c r="E69" s="28">
        <f>[83]PARS_cds_4_stat_stem_GC_AT_freq!B3</f>
        <v>146</v>
      </c>
      <c r="F69" s="28">
        <f>[84]PARS_cds_5_stat_stem_GC_AT_freq!B3</f>
        <v>164</v>
      </c>
      <c r="G69" s="28">
        <f>[85]PARS_cds_6_stat_stem_GC_AT_freq!B3</f>
        <v>118</v>
      </c>
      <c r="H69" s="28">
        <f>[86]PARS_cds_7_stat_stem_GC_AT_freq!B3</f>
        <v>119</v>
      </c>
      <c r="I69" s="28">
        <f>[87]PARS_cds_8_stat_stem_GC_AT_freq!B3</f>
        <v>96</v>
      </c>
      <c r="J69" s="28">
        <f>[88]PARS_cds_9_stat_stem_GC_AT_freq!B3</f>
        <v>69</v>
      </c>
      <c r="K69" s="28">
        <f>[89]PARS_cds_10_stat_stem_GC_AT_fre!B3</f>
        <v>55</v>
      </c>
      <c r="L69" s="28">
        <f>[90]PARS_cds_11_stat_stem_GC_AT_fre!B3</f>
        <v>29</v>
      </c>
      <c r="M69" s="28">
        <f>[91]PARS_cds_12_stat_stem_GC_AT_fre!B3</f>
        <v>26</v>
      </c>
      <c r="N69" s="28">
        <f>[92]PARS_cds_13_stat_stem_GC_AT_fre!B3</f>
        <v>14</v>
      </c>
      <c r="O69" s="28">
        <f>[93]PARS_cds_14_stat_stem_GC_AT_fre!B3</f>
        <v>22</v>
      </c>
      <c r="P69" s="28">
        <f>[94]PARS_cds_15_stat_stem_GC_AT_fre!B3</f>
        <v>7</v>
      </c>
    </row>
    <row r="70" spans="1:16" x14ac:dyDescent="0.15">
      <c r="A70" s="28" t="s">
        <v>53</v>
      </c>
      <c r="B70" s="28">
        <f>[80]PARS_cds_1_stat_stem_GC_AT_freq!B4</f>
        <v>10</v>
      </c>
      <c r="C70" s="28">
        <f>[81]PARS_cds_2_stat_stem_GC_AT_freq!B4</f>
        <v>35</v>
      </c>
      <c r="D70" s="28">
        <f>[82]PARS_cds_3_stat_stem_GC_AT_freq!B4</f>
        <v>76</v>
      </c>
      <c r="E70" s="28">
        <f>[83]PARS_cds_4_stat_stem_GC_AT_freq!B4</f>
        <v>95</v>
      </c>
      <c r="F70" s="28">
        <f>[84]PARS_cds_5_stat_stem_GC_AT_freq!B4</f>
        <v>68</v>
      </c>
      <c r="G70" s="28">
        <f>[85]PARS_cds_6_stat_stem_GC_AT_freq!B4</f>
        <v>71</v>
      </c>
      <c r="H70" s="28">
        <f>[86]PARS_cds_7_stat_stem_GC_AT_freq!B4</f>
        <v>59</v>
      </c>
      <c r="I70" s="28">
        <f>[87]PARS_cds_8_stat_stem_GC_AT_freq!B4</f>
        <v>55</v>
      </c>
      <c r="J70" s="28">
        <f>[88]PARS_cds_9_stat_stem_GC_AT_freq!B4</f>
        <v>41</v>
      </c>
      <c r="K70" s="28">
        <f>[89]PARS_cds_10_stat_stem_GC_AT_fre!B4</f>
        <v>28</v>
      </c>
      <c r="L70" s="28">
        <f>[90]PARS_cds_11_stat_stem_GC_AT_fre!B4</f>
        <v>23</v>
      </c>
      <c r="M70" s="28">
        <f>[91]PARS_cds_12_stat_stem_GC_AT_fre!B4</f>
        <v>18</v>
      </c>
      <c r="N70" s="28">
        <f>[92]PARS_cds_13_stat_stem_GC_AT_fre!B4</f>
        <v>11</v>
      </c>
      <c r="O70" s="28">
        <f>[93]PARS_cds_14_stat_stem_GC_AT_fre!B4</f>
        <v>10</v>
      </c>
      <c r="P70" s="28">
        <f>[94]PARS_cds_15_stat_stem_GC_AT_fre!B4</f>
        <v>5</v>
      </c>
    </row>
    <row r="71" spans="1:16" x14ac:dyDescent="0.15">
      <c r="A71" s="28" t="s">
        <v>54</v>
      </c>
      <c r="B71" s="28">
        <f>[80]PARS_cds_1_stat_stem_GC_AT_freq!B5</f>
        <v>12</v>
      </c>
      <c r="C71" s="28">
        <f>[81]PARS_cds_2_stat_stem_GC_AT_freq!B5</f>
        <v>35</v>
      </c>
      <c r="D71" s="28">
        <f>[82]PARS_cds_3_stat_stem_GC_AT_freq!B5</f>
        <v>50</v>
      </c>
      <c r="E71" s="28">
        <f>[83]PARS_cds_4_stat_stem_GC_AT_freq!B5</f>
        <v>69</v>
      </c>
      <c r="F71" s="28">
        <f>[84]PARS_cds_5_stat_stem_GC_AT_freq!B5</f>
        <v>48</v>
      </c>
      <c r="G71" s="28">
        <f>[85]PARS_cds_6_stat_stem_GC_AT_freq!B5</f>
        <v>54</v>
      </c>
      <c r="H71" s="28">
        <f>[86]PARS_cds_7_stat_stem_GC_AT_freq!B5</f>
        <v>42</v>
      </c>
      <c r="I71" s="28">
        <f>[87]PARS_cds_8_stat_stem_GC_AT_freq!B5</f>
        <v>31</v>
      </c>
      <c r="J71" s="28">
        <f>[88]PARS_cds_9_stat_stem_GC_AT_freq!B5</f>
        <v>26</v>
      </c>
      <c r="K71" s="28">
        <f>[89]PARS_cds_10_stat_stem_GC_AT_fre!B5</f>
        <v>16</v>
      </c>
      <c r="L71" s="28">
        <f>[90]PARS_cds_11_stat_stem_GC_AT_fre!B5</f>
        <v>15</v>
      </c>
      <c r="M71" s="28">
        <f>[91]PARS_cds_12_stat_stem_GC_AT_fre!B5</f>
        <v>12</v>
      </c>
      <c r="N71" s="28">
        <f>[92]PARS_cds_13_stat_stem_GC_AT_fre!B5</f>
        <v>5</v>
      </c>
      <c r="O71" s="28">
        <f>[93]PARS_cds_14_stat_stem_GC_AT_fre!B5</f>
        <v>3</v>
      </c>
      <c r="P71" s="28">
        <f>[94]PARS_cds_15_stat_stem_GC_AT_fre!B5</f>
        <v>5</v>
      </c>
    </row>
    <row r="72" spans="1:16" x14ac:dyDescent="0.15">
      <c r="A72" s="28" t="s">
        <v>55</v>
      </c>
      <c r="B72" s="28">
        <f>[80]PARS_cds_1_stat_stem_GC_AT_freq!B6</f>
        <v>9</v>
      </c>
      <c r="C72" s="28">
        <f>[81]PARS_cds_2_stat_stem_GC_AT_freq!B6</f>
        <v>30</v>
      </c>
      <c r="D72" s="28">
        <f>[82]PARS_cds_3_stat_stem_GC_AT_freq!B6</f>
        <v>31</v>
      </c>
      <c r="E72" s="28">
        <f>[83]PARS_cds_4_stat_stem_GC_AT_freq!B6</f>
        <v>46</v>
      </c>
      <c r="F72" s="28">
        <f>[84]PARS_cds_5_stat_stem_GC_AT_freq!B6</f>
        <v>53</v>
      </c>
      <c r="G72" s="28">
        <f>[85]PARS_cds_6_stat_stem_GC_AT_freq!B6</f>
        <v>53</v>
      </c>
      <c r="H72" s="28">
        <f>[86]PARS_cds_7_stat_stem_GC_AT_freq!B6</f>
        <v>31</v>
      </c>
      <c r="I72" s="28">
        <f>[87]PARS_cds_8_stat_stem_GC_AT_freq!B6</f>
        <v>25</v>
      </c>
      <c r="J72" s="28">
        <f>[88]PARS_cds_9_stat_stem_GC_AT_freq!B6</f>
        <v>27</v>
      </c>
      <c r="K72" s="28">
        <f>[89]PARS_cds_10_stat_stem_GC_AT_fre!B6</f>
        <v>21</v>
      </c>
      <c r="L72" s="28">
        <f>[90]PARS_cds_11_stat_stem_GC_AT_fre!B6</f>
        <v>11</v>
      </c>
      <c r="M72" s="28">
        <f>[91]PARS_cds_12_stat_stem_GC_AT_fre!B6</f>
        <v>11</v>
      </c>
      <c r="N72" s="28">
        <f>[92]PARS_cds_13_stat_stem_GC_AT_fre!B6</f>
        <v>10</v>
      </c>
      <c r="O72" s="28">
        <f>[93]PARS_cds_14_stat_stem_GC_AT_fre!B6</f>
        <v>5</v>
      </c>
      <c r="P72" s="28">
        <f>[94]PARS_cds_15_stat_stem_GC_AT_fre!B6</f>
        <v>3</v>
      </c>
    </row>
    <row r="73" spans="1:16" x14ac:dyDescent="0.15">
      <c r="A73" s="28" t="s">
        <v>56</v>
      </c>
      <c r="B73" s="28">
        <f>[80]PARS_cds_1_stat_stem_GC_AT_freq!B7</f>
        <v>7</v>
      </c>
      <c r="C73" s="28">
        <f>[81]PARS_cds_2_stat_stem_GC_AT_freq!B7</f>
        <v>14</v>
      </c>
      <c r="D73" s="28">
        <f>[82]PARS_cds_3_stat_stem_GC_AT_freq!B7</f>
        <v>29</v>
      </c>
      <c r="E73" s="28">
        <f>[83]PARS_cds_4_stat_stem_GC_AT_freq!B7</f>
        <v>47</v>
      </c>
      <c r="F73" s="28">
        <f>[84]PARS_cds_5_stat_stem_GC_AT_freq!B7</f>
        <v>46</v>
      </c>
      <c r="G73" s="28">
        <f>[85]PARS_cds_6_stat_stem_GC_AT_freq!B7</f>
        <v>42</v>
      </c>
      <c r="H73" s="28">
        <f>[86]PARS_cds_7_stat_stem_GC_AT_freq!B7</f>
        <v>34</v>
      </c>
      <c r="I73" s="28">
        <f>[87]PARS_cds_8_stat_stem_GC_AT_freq!B7</f>
        <v>25</v>
      </c>
      <c r="J73" s="28">
        <f>[88]PARS_cds_9_stat_stem_GC_AT_freq!B7</f>
        <v>10</v>
      </c>
      <c r="K73" s="28">
        <f>[89]PARS_cds_10_stat_stem_GC_AT_fre!B7</f>
        <v>16</v>
      </c>
      <c r="L73" s="28">
        <f>[90]PARS_cds_11_stat_stem_GC_AT_fre!B7</f>
        <v>9</v>
      </c>
      <c r="M73" s="28">
        <f>[91]PARS_cds_12_stat_stem_GC_AT_fre!B7</f>
        <v>6</v>
      </c>
      <c r="N73" s="28">
        <f>[92]PARS_cds_13_stat_stem_GC_AT_fre!B7</f>
        <v>3</v>
      </c>
      <c r="O73" s="28">
        <f>[93]PARS_cds_14_stat_stem_GC_AT_fre!B7</f>
        <v>3</v>
      </c>
      <c r="P73" s="28">
        <f>[94]PARS_cds_15_stat_stem_GC_AT_fre!B7</f>
        <v>4</v>
      </c>
    </row>
    <row r="74" spans="1:16" x14ac:dyDescent="0.15">
      <c r="A74" s="28" t="s">
        <v>57</v>
      </c>
      <c r="B74" s="28">
        <f>[80]PARS_cds_1_stat_stem_GC_AT_freq!B8</f>
        <v>4</v>
      </c>
      <c r="C74" s="28">
        <f>[81]PARS_cds_2_stat_stem_GC_AT_freq!B8</f>
        <v>22</v>
      </c>
      <c r="D74" s="28">
        <f>[82]PARS_cds_3_stat_stem_GC_AT_freq!B8</f>
        <v>24</v>
      </c>
      <c r="E74" s="28">
        <f>[83]PARS_cds_4_stat_stem_GC_AT_freq!B8</f>
        <v>40</v>
      </c>
      <c r="F74" s="28">
        <f>[84]PARS_cds_5_stat_stem_GC_AT_freq!B8</f>
        <v>40</v>
      </c>
      <c r="G74" s="28">
        <f>[85]PARS_cds_6_stat_stem_GC_AT_freq!B8</f>
        <v>35</v>
      </c>
      <c r="H74" s="28">
        <f>[86]PARS_cds_7_stat_stem_GC_AT_freq!B8</f>
        <v>17</v>
      </c>
      <c r="I74" s="28">
        <f>[87]PARS_cds_8_stat_stem_GC_AT_freq!B8</f>
        <v>30</v>
      </c>
      <c r="J74" s="28">
        <f>[88]PARS_cds_9_stat_stem_GC_AT_freq!B8</f>
        <v>13</v>
      </c>
      <c r="K74" s="28">
        <f>[89]PARS_cds_10_stat_stem_GC_AT_fre!B8</f>
        <v>15</v>
      </c>
      <c r="L74" s="28">
        <f>[90]PARS_cds_11_stat_stem_GC_AT_fre!B8</f>
        <v>10</v>
      </c>
      <c r="M74" s="28">
        <f>[91]PARS_cds_12_stat_stem_GC_AT_fre!B8</f>
        <v>4</v>
      </c>
      <c r="N74" s="28">
        <f>[92]PARS_cds_13_stat_stem_GC_AT_fre!B8</f>
        <v>10</v>
      </c>
      <c r="O74" s="28">
        <f>[93]PARS_cds_14_stat_stem_GC_AT_fre!B8</f>
        <v>5</v>
      </c>
      <c r="P74" s="28">
        <f>[94]PARS_cds_15_stat_stem_GC_AT_fre!B8</f>
        <v>4</v>
      </c>
    </row>
    <row r="75" spans="1:16" x14ac:dyDescent="0.15">
      <c r="A75" s="28" t="s">
        <v>58</v>
      </c>
      <c r="B75" s="28">
        <f>[80]PARS_cds_1_stat_stem_GC_AT_freq!B9</f>
        <v>0</v>
      </c>
      <c r="C75" s="28">
        <f>[81]PARS_cds_2_stat_stem_GC_AT_freq!B9</f>
        <v>21</v>
      </c>
      <c r="D75" s="28">
        <f>[82]PARS_cds_3_stat_stem_GC_AT_freq!B9</f>
        <v>39</v>
      </c>
      <c r="E75" s="28">
        <f>[83]PARS_cds_4_stat_stem_GC_AT_freq!B9</f>
        <v>45</v>
      </c>
      <c r="F75" s="28">
        <f>[84]PARS_cds_5_stat_stem_GC_AT_freq!B9</f>
        <v>43</v>
      </c>
      <c r="G75" s="28">
        <f>[85]PARS_cds_6_stat_stem_GC_AT_freq!B9</f>
        <v>37</v>
      </c>
      <c r="H75" s="28">
        <f>[86]PARS_cds_7_stat_stem_GC_AT_freq!B9</f>
        <v>38</v>
      </c>
      <c r="I75" s="28">
        <f>[87]PARS_cds_8_stat_stem_GC_AT_freq!B9</f>
        <v>17</v>
      </c>
      <c r="J75" s="28">
        <f>[88]PARS_cds_9_stat_stem_GC_AT_freq!B9</f>
        <v>21</v>
      </c>
      <c r="K75" s="28">
        <f>[89]PARS_cds_10_stat_stem_GC_AT_fre!B9</f>
        <v>17</v>
      </c>
      <c r="L75" s="28">
        <f>[90]PARS_cds_11_stat_stem_GC_AT_fre!B9</f>
        <v>13</v>
      </c>
      <c r="M75" s="28">
        <f>[91]PARS_cds_12_stat_stem_GC_AT_fre!B9</f>
        <v>7</v>
      </c>
      <c r="N75" s="28">
        <f>[92]PARS_cds_13_stat_stem_GC_AT_fre!B9</f>
        <v>6</v>
      </c>
      <c r="O75" s="28">
        <f>[93]PARS_cds_14_stat_stem_GC_AT_fre!B9</f>
        <v>4</v>
      </c>
      <c r="P75" s="28">
        <f>[94]PARS_cds_15_stat_stem_GC_AT_fre!B9</f>
        <v>5</v>
      </c>
    </row>
    <row r="76" spans="1:16" x14ac:dyDescent="0.15">
      <c r="A76" s="28" t="s">
        <v>59</v>
      </c>
      <c r="B76" s="28">
        <f>[80]PARS_cds_1_stat_stem_GC_AT_freq!B10</f>
        <v>5</v>
      </c>
      <c r="C76" s="28">
        <f>[81]PARS_cds_2_stat_stem_GC_AT_freq!B10</f>
        <v>18</v>
      </c>
      <c r="D76" s="28">
        <f>[82]PARS_cds_3_stat_stem_GC_AT_freq!B10</f>
        <v>41</v>
      </c>
      <c r="E76" s="28">
        <f>[83]PARS_cds_4_stat_stem_GC_AT_freq!B10</f>
        <v>45</v>
      </c>
      <c r="F76" s="28">
        <f>[84]PARS_cds_5_stat_stem_GC_AT_freq!B10</f>
        <v>58</v>
      </c>
      <c r="G76" s="28">
        <f>[85]PARS_cds_6_stat_stem_GC_AT_freq!B10</f>
        <v>43</v>
      </c>
      <c r="H76" s="28">
        <f>[86]PARS_cds_7_stat_stem_GC_AT_freq!B10</f>
        <v>32</v>
      </c>
      <c r="I76" s="28">
        <f>[87]PARS_cds_8_stat_stem_GC_AT_freq!B10</f>
        <v>43</v>
      </c>
      <c r="J76" s="28">
        <f>[88]PARS_cds_9_stat_stem_GC_AT_freq!B10</f>
        <v>21</v>
      </c>
      <c r="K76" s="28">
        <f>[89]PARS_cds_10_stat_stem_GC_AT_fre!B10</f>
        <v>12</v>
      </c>
      <c r="L76" s="28">
        <f>[90]PARS_cds_11_stat_stem_GC_AT_fre!B10</f>
        <v>8</v>
      </c>
      <c r="M76" s="28">
        <f>[91]PARS_cds_12_stat_stem_GC_AT_fre!B10</f>
        <v>6</v>
      </c>
      <c r="N76" s="28">
        <f>[92]PARS_cds_13_stat_stem_GC_AT_fre!B10</f>
        <v>5</v>
      </c>
      <c r="O76" s="28">
        <f>[93]PARS_cds_14_stat_stem_GC_AT_fre!B10</f>
        <v>8</v>
      </c>
      <c r="P76" s="28">
        <f>[94]PARS_cds_15_stat_stem_GC_AT_fre!B10</f>
        <v>4</v>
      </c>
    </row>
    <row r="77" spans="1:16" x14ac:dyDescent="0.15">
      <c r="A77" s="28" t="s">
        <v>60</v>
      </c>
      <c r="B77" s="28">
        <f>[80]PARS_cds_1_stat_stem_GC_AT_freq!B11</f>
        <v>4</v>
      </c>
      <c r="C77" s="28">
        <f>[81]PARS_cds_2_stat_stem_GC_AT_freq!B11</f>
        <v>47</v>
      </c>
      <c r="D77" s="28">
        <f>[82]PARS_cds_3_stat_stem_GC_AT_freq!B11</f>
        <v>74</v>
      </c>
      <c r="E77" s="28">
        <f>[83]PARS_cds_4_stat_stem_GC_AT_freq!B11</f>
        <v>111</v>
      </c>
      <c r="F77" s="28">
        <f>[84]PARS_cds_5_stat_stem_GC_AT_freq!B11</f>
        <v>95</v>
      </c>
      <c r="G77" s="28">
        <f>[85]PARS_cds_6_stat_stem_GC_AT_freq!B11</f>
        <v>105</v>
      </c>
      <c r="H77" s="28">
        <f>[86]PARS_cds_7_stat_stem_GC_AT_freq!B11</f>
        <v>99</v>
      </c>
      <c r="I77" s="28">
        <f>[87]PARS_cds_8_stat_stem_GC_AT_freq!B11</f>
        <v>70</v>
      </c>
      <c r="J77" s="28">
        <f>[88]PARS_cds_9_stat_stem_GC_AT_freq!B11</f>
        <v>49</v>
      </c>
      <c r="K77" s="28">
        <f>[89]PARS_cds_10_stat_stem_GC_AT_fre!B11</f>
        <v>29</v>
      </c>
      <c r="L77" s="28">
        <f>[90]PARS_cds_11_stat_stem_GC_AT_fre!B11</f>
        <v>36</v>
      </c>
      <c r="M77" s="28">
        <f>[91]PARS_cds_12_stat_stem_GC_AT_fre!B11</f>
        <v>24</v>
      </c>
      <c r="N77" s="28">
        <f>[92]PARS_cds_13_stat_stem_GC_AT_fre!B11</f>
        <v>17</v>
      </c>
      <c r="O77" s="28">
        <f>[93]PARS_cds_14_stat_stem_GC_AT_fre!B11</f>
        <v>6</v>
      </c>
      <c r="P77" s="28">
        <f>[94]PARS_cds_15_stat_stem_GC_AT_fre!B11</f>
        <v>9</v>
      </c>
    </row>
    <row r="78" spans="1:16" x14ac:dyDescent="0.15">
      <c r="A78" s="28" t="s">
        <v>61</v>
      </c>
      <c r="B78" s="28">
        <f>SUM(B68:B77)</f>
        <v>186</v>
      </c>
      <c r="C78" s="28">
        <f t="shared" ref="C78:P78" si="4">SUM(C68:C77)</f>
        <v>812</v>
      </c>
      <c r="D78" s="28">
        <f t="shared" si="4"/>
        <v>1425</v>
      </c>
      <c r="E78" s="28">
        <f t="shared" si="4"/>
        <v>1730</v>
      </c>
      <c r="F78" s="28">
        <f t="shared" si="4"/>
        <v>1646</v>
      </c>
      <c r="G78" s="28">
        <f t="shared" si="4"/>
        <v>1517</v>
      </c>
      <c r="H78" s="28">
        <f t="shared" si="4"/>
        <v>1180</v>
      </c>
      <c r="I78" s="28">
        <f t="shared" si="4"/>
        <v>964</v>
      </c>
      <c r="J78" s="28">
        <f t="shared" si="4"/>
        <v>679</v>
      </c>
      <c r="K78" s="28">
        <f t="shared" si="4"/>
        <v>504</v>
      </c>
      <c r="L78" s="28">
        <f t="shared" si="4"/>
        <v>428</v>
      </c>
      <c r="M78" s="28">
        <f t="shared" si="4"/>
        <v>306</v>
      </c>
      <c r="N78" s="28">
        <f t="shared" si="4"/>
        <v>211</v>
      </c>
      <c r="O78" s="28">
        <f t="shared" si="4"/>
        <v>155</v>
      </c>
      <c r="P78" s="28">
        <f t="shared" si="4"/>
        <v>98</v>
      </c>
    </row>
    <row r="81" spans="1:29" x14ac:dyDescent="0.15">
      <c r="A81" s="28" t="s">
        <v>23</v>
      </c>
      <c r="B81" s="28" t="s">
        <v>31</v>
      </c>
      <c r="C81" s="28" t="s">
        <v>31</v>
      </c>
      <c r="D81" s="28" t="s">
        <v>31</v>
      </c>
      <c r="E81" s="28" t="s">
        <v>31</v>
      </c>
      <c r="F81" s="28" t="s">
        <v>31</v>
      </c>
      <c r="G81" s="28" t="s">
        <v>31</v>
      </c>
      <c r="H81" s="28" t="s">
        <v>31</v>
      </c>
      <c r="I81" s="28" t="s">
        <v>31</v>
      </c>
      <c r="J81" s="28" t="s">
        <v>31</v>
      </c>
      <c r="K81" s="28" t="s">
        <v>31</v>
      </c>
      <c r="L81" s="28" t="s">
        <v>31</v>
      </c>
      <c r="M81" s="28" t="s">
        <v>31</v>
      </c>
      <c r="N81" s="28" t="s">
        <v>31</v>
      </c>
      <c r="O81" s="28" t="s">
        <v>31</v>
      </c>
      <c r="P81" s="28" t="s">
        <v>31</v>
      </c>
    </row>
    <row r="82" spans="1:29" x14ac:dyDescent="0.15">
      <c r="A82" s="28" t="s">
        <v>52</v>
      </c>
      <c r="B82" s="28">
        <f>B68/B$78</f>
        <v>0.62903225806451613</v>
      </c>
      <c r="C82" s="28">
        <f t="shared" ref="C82:P82" si="5">C68/C$78</f>
        <v>0.62931034482758619</v>
      </c>
      <c r="D82" s="28">
        <f t="shared" si="5"/>
        <v>0.65894736842105261</v>
      </c>
      <c r="E82" s="28">
        <f t="shared" si="5"/>
        <v>0.62774566473988436</v>
      </c>
      <c r="F82" s="28">
        <f t="shared" si="5"/>
        <v>0.62636695018226007</v>
      </c>
      <c r="G82" s="28">
        <f t="shared" si="5"/>
        <v>0.63216875411997364</v>
      </c>
      <c r="H82" s="28">
        <f t="shared" si="5"/>
        <v>0.60084745762711866</v>
      </c>
      <c r="I82" s="28">
        <f t="shared" si="5"/>
        <v>0.59336099585062241</v>
      </c>
      <c r="J82" s="28">
        <f t="shared" si="5"/>
        <v>0.59204712812960236</v>
      </c>
      <c r="K82" s="28">
        <f t="shared" si="5"/>
        <v>0.58531746031746035</v>
      </c>
      <c r="L82" s="28">
        <f t="shared" si="5"/>
        <v>0.64018691588785048</v>
      </c>
      <c r="M82" s="28">
        <f t="shared" si="5"/>
        <v>0.62745098039215685</v>
      </c>
      <c r="N82" s="28">
        <f t="shared" si="5"/>
        <v>0.61611374407582942</v>
      </c>
      <c r="O82" s="28">
        <f t="shared" si="5"/>
        <v>0.5741935483870968</v>
      </c>
      <c r="P82" s="28">
        <f t="shared" si="5"/>
        <v>0.53061224489795922</v>
      </c>
      <c r="S82" s="28">
        <v>0.62903225806451613</v>
      </c>
      <c r="T82" s="28">
        <v>9.6774193548387094E-2</v>
      </c>
      <c r="U82" s="28">
        <v>5.3763440860215055E-2</v>
      </c>
      <c r="V82" s="28">
        <v>6.4516129032258063E-2</v>
      </c>
      <c r="W82" s="28">
        <v>4.8387096774193547E-2</v>
      </c>
      <c r="X82" s="28">
        <v>3.7634408602150539E-2</v>
      </c>
      <c r="Y82" s="28">
        <v>2.1505376344086023E-2</v>
      </c>
      <c r="Z82" s="28">
        <v>0</v>
      </c>
      <c r="AA82" s="28">
        <v>2.6881720430107527E-2</v>
      </c>
      <c r="AB82" s="28">
        <v>2.1505376344086023E-2</v>
      </c>
      <c r="AC82" s="28">
        <f>-37/100</f>
        <v>-0.37</v>
      </c>
    </row>
    <row r="83" spans="1:29" x14ac:dyDescent="0.15">
      <c r="A83" s="28" t="s">
        <v>38</v>
      </c>
      <c r="B83" s="28">
        <f>B69/B$78</f>
        <v>9.6774193548387094E-2</v>
      </c>
      <c r="C83" s="28">
        <f>C69/C$78</f>
        <v>9.7290640394088676E-2</v>
      </c>
      <c r="D83" s="28">
        <f t="shared" ref="D83:P83" si="6">D69/D$78</f>
        <v>8.5614035087719295E-2</v>
      </c>
      <c r="E83" s="28">
        <f t="shared" si="6"/>
        <v>8.4393063583815028E-2</v>
      </c>
      <c r="F83" s="28">
        <f t="shared" si="6"/>
        <v>9.9635479951397321E-2</v>
      </c>
      <c r="G83" s="28">
        <f t="shared" si="6"/>
        <v>7.778510217534608E-2</v>
      </c>
      <c r="H83" s="28">
        <f t="shared" si="6"/>
        <v>0.10084745762711865</v>
      </c>
      <c r="I83" s="28">
        <f t="shared" si="6"/>
        <v>9.9585062240663894E-2</v>
      </c>
      <c r="J83" s="28">
        <f t="shared" si="6"/>
        <v>0.101620029455081</v>
      </c>
      <c r="K83" s="28">
        <f t="shared" si="6"/>
        <v>0.10912698412698413</v>
      </c>
      <c r="L83" s="28">
        <f t="shared" si="6"/>
        <v>6.7757009345794386E-2</v>
      </c>
      <c r="M83" s="28">
        <f t="shared" si="6"/>
        <v>8.4967320261437912E-2</v>
      </c>
      <c r="N83" s="28">
        <f t="shared" si="6"/>
        <v>6.6350710900473939E-2</v>
      </c>
      <c r="O83" s="28">
        <f t="shared" si="6"/>
        <v>0.14193548387096774</v>
      </c>
      <c r="P83" s="28">
        <f t="shared" si="6"/>
        <v>7.1428571428571425E-2</v>
      </c>
      <c r="S83" s="28">
        <v>0.62931034482758619</v>
      </c>
      <c r="T83" s="28">
        <v>9.7290640394088676E-2</v>
      </c>
      <c r="U83" s="28">
        <v>4.3103448275862072E-2</v>
      </c>
      <c r="V83" s="28">
        <v>4.3103448275862072E-2</v>
      </c>
      <c r="W83" s="28">
        <v>3.6945812807881777E-2</v>
      </c>
      <c r="X83" s="28">
        <v>1.7241379310344827E-2</v>
      </c>
      <c r="Y83" s="28">
        <v>2.7093596059113302E-2</v>
      </c>
      <c r="Z83" s="28">
        <v>2.5862068965517241E-2</v>
      </c>
      <c r="AA83" s="28">
        <v>2.2167487684729065E-2</v>
      </c>
      <c r="AB83" s="28">
        <v>5.7881773399014777E-2</v>
      </c>
      <c r="AC83" s="28">
        <f>-37/100</f>
        <v>-0.37</v>
      </c>
    </row>
    <row r="84" spans="1:29" x14ac:dyDescent="0.15">
      <c r="A84" s="28" t="s">
        <v>53</v>
      </c>
      <c r="B84" s="28">
        <f t="shared" ref="B84:P84" si="7">B70/B$78</f>
        <v>5.3763440860215055E-2</v>
      </c>
      <c r="C84" s="28">
        <f t="shared" si="7"/>
        <v>4.3103448275862072E-2</v>
      </c>
      <c r="D84" s="28">
        <f t="shared" si="7"/>
        <v>5.3333333333333337E-2</v>
      </c>
      <c r="E84" s="28">
        <f t="shared" si="7"/>
        <v>5.4913294797687862E-2</v>
      </c>
      <c r="F84" s="28">
        <f t="shared" si="7"/>
        <v>4.1312272174969626E-2</v>
      </c>
      <c r="G84" s="28">
        <f t="shared" si="7"/>
        <v>4.680290046143705E-2</v>
      </c>
      <c r="H84" s="28">
        <f t="shared" si="7"/>
        <v>0.05</v>
      </c>
      <c r="I84" s="28">
        <f t="shared" si="7"/>
        <v>5.7053941908713691E-2</v>
      </c>
      <c r="J84" s="28">
        <f t="shared" si="7"/>
        <v>6.0382916053019146E-2</v>
      </c>
      <c r="K84" s="28">
        <f t="shared" si="7"/>
        <v>5.5555555555555552E-2</v>
      </c>
      <c r="L84" s="28">
        <f t="shared" si="7"/>
        <v>5.3738317757009345E-2</v>
      </c>
      <c r="M84" s="28">
        <f t="shared" si="7"/>
        <v>5.8823529411764705E-2</v>
      </c>
      <c r="N84" s="28">
        <f t="shared" si="7"/>
        <v>5.2132701421800945E-2</v>
      </c>
      <c r="O84" s="28">
        <f t="shared" si="7"/>
        <v>6.4516129032258063E-2</v>
      </c>
      <c r="P84" s="28">
        <f t="shared" si="7"/>
        <v>5.1020408163265307E-2</v>
      </c>
      <c r="S84" s="28">
        <v>0.65894736842105261</v>
      </c>
      <c r="T84" s="28">
        <v>8.5614035087719295E-2</v>
      </c>
      <c r="U84" s="28">
        <v>5.3333333333333337E-2</v>
      </c>
      <c r="V84" s="28">
        <v>3.5087719298245612E-2</v>
      </c>
      <c r="W84" s="28">
        <v>2.175438596491228E-2</v>
      </c>
      <c r="X84" s="28">
        <v>2.0350877192982456E-2</v>
      </c>
      <c r="Y84" s="28">
        <v>1.6842105263157894E-2</v>
      </c>
      <c r="Z84" s="28">
        <v>2.736842105263158E-2</v>
      </c>
      <c r="AA84" s="28">
        <v>2.8771929824561403E-2</v>
      </c>
      <c r="AB84" s="28">
        <v>5.1929824561403506E-2</v>
      </c>
      <c r="AC84" s="28">
        <f>-7/10</f>
        <v>-0.7</v>
      </c>
    </row>
    <row r="85" spans="1:29" x14ac:dyDescent="0.15">
      <c r="A85" s="28" t="s">
        <v>54</v>
      </c>
      <c r="B85" s="28">
        <f t="shared" ref="B85:P85" si="8">B71/B$78</f>
        <v>6.4516129032258063E-2</v>
      </c>
      <c r="C85" s="28">
        <f t="shared" si="8"/>
        <v>4.3103448275862072E-2</v>
      </c>
      <c r="D85" s="28">
        <f t="shared" si="8"/>
        <v>3.5087719298245612E-2</v>
      </c>
      <c r="E85" s="28">
        <f t="shared" si="8"/>
        <v>3.9884393063583816E-2</v>
      </c>
      <c r="F85" s="28">
        <f t="shared" si="8"/>
        <v>2.9161603888213851E-2</v>
      </c>
      <c r="G85" s="28">
        <f t="shared" si="8"/>
        <v>3.5596572181938034E-2</v>
      </c>
      <c r="H85" s="28">
        <f t="shared" si="8"/>
        <v>3.5593220338983052E-2</v>
      </c>
      <c r="I85" s="28">
        <f t="shared" si="8"/>
        <v>3.2157676348547715E-2</v>
      </c>
      <c r="J85" s="28">
        <f t="shared" si="8"/>
        <v>3.8291605301914583E-2</v>
      </c>
      <c r="K85" s="28">
        <f t="shared" si="8"/>
        <v>3.1746031746031744E-2</v>
      </c>
      <c r="L85" s="28">
        <f t="shared" si="8"/>
        <v>3.5046728971962614E-2</v>
      </c>
      <c r="M85" s="28">
        <f t="shared" si="8"/>
        <v>3.9215686274509803E-2</v>
      </c>
      <c r="N85" s="28">
        <f t="shared" si="8"/>
        <v>2.3696682464454975E-2</v>
      </c>
      <c r="O85" s="28">
        <f t="shared" si="8"/>
        <v>1.935483870967742E-2</v>
      </c>
      <c r="P85" s="28">
        <f t="shared" si="8"/>
        <v>5.1020408163265307E-2</v>
      </c>
      <c r="S85" s="28">
        <v>0.62774566473988436</v>
      </c>
      <c r="T85" s="28">
        <v>8.4393063583815028E-2</v>
      </c>
      <c r="U85" s="28">
        <v>5.4913294797687862E-2</v>
      </c>
      <c r="V85" s="28">
        <v>3.9884393063583816E-2</v>
      </c>
      <c r="W85" s="28">
        <v>2.6589595375722544E-2</v>
      </c>
      <c r="X85" s="28">
        <v>2.7167630057803469E-2</v>
      </c>
      <c r="Y85" s="28">
        <v>2.3121387283236993E-2</v>
      </c>
      <c r="Z85" s="28">
        <v>2.6011560693641619E-2</v>
      </c>
      <c r="AA85" s="28">
        <v>2.6011560693641619E-2</v>
      </c>
      <c r="AB85" s="28">
        <v>6.4161849710982655E-2</v>
      </c>
      <c r="AC85" s="28">
        <f>-33/100</f>
        <v>-0.33</v>
      </c>
    </row>
    <row r="86" spans="1:29" x14ac:dyDescent="0.15">
      <c r="A86" s="28" t="s">
        <v>55</v>
      </c>
      <c r="B86" s="28">
        <f t="shared" ref="B86:P86" si="9">B72/B$78</f>
        <v>4.8387096774193547E-2</v>
      </c>
      <c r="C86" s="28">
        <f t="shared" si="9"/>
        <v>3.6945812807881777E-2</v>
      </c>
      <c r="D86" s="28">
        <f t="shared" si="9"/>
        <v>2.175438596491228E-2</v>
      </c>
      <c r="E86" s="28">
        <f t="shared" si="9"/>
        <v>2.6589595375722544E-2</v>
      </c>
      <c r="F86" s="28">
        <f t="shared" si="9"/>
        <v>3.2199270959902791E-2</v>
      </c>
      <c r="G86" s="28">
        <f t="shared" si="9"/>
        <v>3.4937376400791038E-2</v>
      </c>
      <c r="H86" s="28">
        <f t="shared" si="9"/>
        <v>2.6271186440677965E-2</v>
      </c>
      <c r="I86" s="28">
        <f t="shared" si="9"/>
        <v>2.5933609958506226E-2</v>
      </c>
      <c r="J86" s="28">
        <f t="shared" si="9"/>
        <v>3.9764359351988215E-2</v>
      </c>
      <c r="K86" s="28">
        <f t="shared" si="9"/>
        <v>4.1666666666666664E-2</v>
      </c>
      <c r="L86" s="28">
        <f t="shared" si="9"/>
        <v>2.5700934579439252E-2</v>
      </c>
      <c r="M86" s="28">
        <f t="shared" si="9"/>
        <v>3.5947712418300651E-2</v>
      </c>
      <c r="N86" s="28">
        <f t="shared" si="9"/>
        <v>4.7393364928909949E-2</v>
      </c>
      <c r="O86" s="28">
        <f t="shared" si="9"/>
        <v>3.2258064516129031E-2</v>
      </c>
      <c r="P86" s="28">
        <f t="shared" si="9"/>
        <v>3.0612244897959183E-2</v>
      </c>
      <c r="S86" s="28">
        <v>0.62636695018226007</v>
      </c>
      <c r="T86" s="28">
        <v>9.9635479951397321E-2</v>
      </c>
      <c r="U86" s="28">
        <v>4.1312272174969626E-2</v>
      </c>
      <c r="V86" s="28">
        <v>2.9161603888213851E-2</v>
      </c>
      <c r="W86" s="28">
        <v>3.2199270959902791E-2</v>
      </c>
      <c r="X86" s="28">
        <v>2.7946537059538274E-2</v>
      </c>
      <c r="Y86" s="28">
        <v>2.4301336573511544E-2</v>
      </c>
      <c r="Z86" s="28">
        <v>2.6123936816524911E-2</v>
      </c>
      <c r="AA86" s="28">
        <v>3.5236938031591739E-2</v>
      </c>
      <c r="AB86" s="28">
        <v>5.7715674362089915E-2</v>
      </c>
      <c r="AC86" s="28">
        <f>-33/100</f>
        <v>-0.33</v>
      </c>
    </row>
    <row r="87" spans="1:29" x14ac:dyDescent="0.15">
      <c r="A87" s="28" t="s">
        <v>56</v>
      </c>
      <c r="B87" s="28">
        <f t="shared" ref="B87:P87" si="10">B73/B$78</f>
        <v>3.7634408602150539E-2</v>
      </c>
      <c r="C87" s="28">
        <f t="shared" si="10"/>
        <v>1.7241379310344827E-2</v>
      </c>
      <c r="D87" s="28">
        <f t="shared" si="10"/>
        <v>2.0350877192982456E-2</v>
      </c>
      <c r="E87" s="28">
        <f t="shared" si="10"/>
        <v>2.7167630057803469E-2</v>
      </c>
      <c r="F87" s="28">
        <f t="shared" si="10"/>
        <v>2.7946537059538274E-2</v>
      </c>
      <c r="G87" s="28">
        <f t="shared" si="10"/>
        <v>2.7686222808174028E-2</v>
      </c>
      <c r="H87" s="28">
        <f t="shared" si="10"/>
        <v>2.8813559322033899E-2</v>
      </c>
      <c r="I87" s="28">
        <f t="shared" si="10"/>
        <v>2.5933609958506226E-2</v>
      </c>
      <c r="J87" s="28">
        <f t="shared" si="10"/>
        <v>1.4727540500736377E-2</v>
      </c>
      <c r="K87" s="28">
        <f t="shared" si="10"/>
        <v>3.1746031746031744E-2</v>
      </c>
      <c r="L87" s="28">
        <f t="shared" si="10"/>
        <v>2.1028037383177569E-2</v>
      </c>
      <c r="M87" s="28">
        <f t="shared" si="10"/>
        <v>1.9607843137254902E-2</v>
      </c>
      <c r="N87" s="28">
        <f t="shared" si="10"/>
        <v>1.4218009478672985E-2</v>
      </c>
      <c r="O87" s="28">
        <f t="shared" si="10"/>
        <v>1.935483870967742E-2</v>
      </c>
      <c r="P87" s="28">
        <f t="shared" si="10"/>
        <v>4.0816326530612242E-2</v>
      </c>
      <c r="S87" s="28">
        <v>0.63216875411997364</v>
      </c>
      <c r="T87" s="28">
        <v>7.778510217534608E-2</v>
      </c>
      <c r="U87" s="28">
        <v>4.680290046143705E-2</v>
      </c>
      <c r="V87" s="28">
        <v>3.5596572181938034E-2</v>
      </c>
      <c r="W87" s="28">
        <v>3.4937376400791038E-2</v>
      </c>
      <c r="X87" s="28">
        <v>2.7686222808174028E-2</v>
      </c>
      <c r="Y87" s="28">
        <v>2.3071852340145024E-2</v>
      </c>
      <c r="Z87" s="28">
        <v>2.4390243902439025E-2</v>
      </c>
      <c r="AA87" s="28">
        <v>2.8345418589321027E-2</v>
      </c>
      <c r="AB87" s="28">
        <v>6.9215557020435067E-2</v>
      </c>
      <c r="AC87" s="28">
        <f>-37/100</f>
        <v>-0.37</v>
      </c>
    </row>
    <row r="88" spans="1:29" x14ac:dyDescent="0.15">
      <c r="A88" s="28" t="s">
        <v>57</v>
      </c>
      <c r="B88" s="28">
        <f t="shared" ref="B88:P88" si="11">B74/B$78</f>
        <v>2.1505376344086023E-2</v>
      </c>
      <c r="C88" s="28">
        <f t="shared" si="11"/>
        <v>2.7093596059113302E-2</v>
      </c>
      <c r="D88" s="28">
        <f t="shared" si="11"/>
        <v>1.6842105263157894E-2</v>
      </c>
      <c r="E88" s="28">
        <f t="shared" si="11"/>
        <v>2.3121387283236993E-2</v>
      </c>
      <c r="F88" s="28">
        <f t="shared" si="11"/>
        <v>2.4301336573511544E-2</v>
      </c>
      <c r="G88" s="28">
        <f t="shared" si="11"/>
        <v>2.3071852340145024E-2</v>
      </c>
      <c r="H88" s="28">
        <f t="shared" si="11"/>
        <v>1.4406779661016949E-2</v>
      </c>
      <c r="I88" s="28">
        <f t="shared" si="11"/>
        <v>3.1120331950207469E-2</v>
      </c>
      <c r="J88" s="28">
        <f t="shared" si="11"/>
        <v>1.9145802650957292E-2</v>
      </c>
      <c r="K88" s="28">
        <f t="shared" si="11"/>
        <v>2.976190476190476E-2</v>
      </c>
      <c r="L88" s="28">
        <f t="shared" si="11"/>
        <v>2.336448598130841E-2</v>
      </c>
      <c r="M88" s="28">
        <f t="shared" si="11"/>
        <v>1.3071895424836602E-2</v>
      </c>
      <c r="N88" s="28">
        <f t="shared" si="11"/>
        <v>4.7393364928909949E-2</v>
      </c>
      <c r="O88" s="28">
        <f t="shared" si="11"/>
        <v>3.2258064516129031E-2</v>
      </c>
      <c r="P88" s="28">
        <f t="shared" si="11"/>
        <v>4.0816326530612242E-2</v>
      </c>
      <c r="S88" s="28">
        <v>0.60084745762711866</v>
      </c>
      <c r="T88" s="28">
        <v>0.10084745762711865</v>
      </c>
      <c r="U88" s="28">
        <v>0.05</v>
      </c>
      <c r="V88" s="28">
        <v>3.5593220338983052E-2</v>
      </c>
      <c r="W88" s="28">
        <v>2.6271186440677965E-2</v>
      </c>
      <c r="X88" s="28">
        <v>2.8813559322033899E-2</v>
      </c>
      <c r="Y88" s="28">
        <v>1.4406779661016949E-2</v>
      </c>
      <c r="Z88" s="28">
        <v>3.2203389830508473E-2</v>
      </c>
      <c r="AA88" s="28">
        <v>2.7118644067796609E-2</v>
      </c>
      <c r="AB88" s="28">
        <v>8.3898305084745758E-2</v>
      </c>
      <c r="AC88" s="28">
        <f>-1/50</f>
        <v>-0.02</v>
      </c>
    </row>
    <row r="89" spans="1:29" x14ac:dyDescent="0.15">
      <c r="A89" s="28" t="s">
        <v>58</v>
      </c>
      <c r="B89" s="28">
        <f t="shared" ref="B89:P89" si="12">B75/B$78</f>
        <v>0</v>
      </c>
      <c r="C89" s="28">
        <f t="shared" si="12"/>
        <v>2.5862068965517241E-2</v>
      </c>
      <c r="D89" s="28">
        <f t="shared" si="12"/>
        <v>2.736842105263158E-2</v>
      </c>
      <c r="E89" s="28">
        <f t="shared" si="12"/>
        <v>2.6011560693641619E-2</v>
      </c>
      <c r="F89" s="28">
        <f t="shared" si="12"/>
        <v>2.6123936816524911E-2</v>
      </c>
      <c r="G89" s="28">
        <f t="shared" si="12"/>
        <v>2.4390243902439025E-2</v>
      </c>
      <c r="H89" s="28">
        <f t="shared" si="12"/>
        <v>3.2203389830508473E-2</v>
      </c>
      <c r="I89" s="28">
        <f t="shared" si="12"/>
        <v>1.7634854771784232E-2</v>
      </c>
      <c r="J89" s="28">
        <f t="shared" si="12"/>
        <v>3.0927835051546393E-2</v>
      </c>
      <c r="K89" s="28">
        <f t="shared" si="12"/>
        <v>3.3730158730158728E-2</v>
      </c>
      <c r="L89" s="28">
        <f t="shared" si="12"/>
        <v>3.0373831775700934E-2</v>
      </c>
      <c r="M89" s="28">
        <f t="shared" si="12"/>
        <v>2.2875816993464051E-2</v>
      </c>
      <c r="N89" s="28">
        <f t="shared" si="12"/>
        <v>2.843601895734597E-2</v>
      </c>
      <c r="O89" s="28">
        <f t="shared" si="12"/>
        <v>2.5806451612903226E-2</v>
      </c>
      <c r="P89" s="28">
        <f t="shared" si="12"/>
        <v>5.1020408163265307E-2</v>
      </c>
      <c r="S89" s="28">
        <v>0.59336099585062241</v>
      </c>
      <c r="T89" s="28">
        <v>9.9585062240663894E-2</v>
      </c>
      <c r="U89" s="28">
        <v>5.7053941908713691E-2</v>
      </c>
      <c r="V89" s="28">
        <v>3.2157676348547715E-2</v>
      </c>
      <c r="W89" s="28">
        <v>2.5933609958506226E-2</v>
      </c>
      <c r="X89" s="28">
        <v>2.5933609958506226E-2</v>
      </c>
      <c r="Y89" s="28">
        <v>3.1120331950207469E-2</v>
      </c>
      <c r="Z89" s="28">
        <v>1.7634854771784232E-2</v>
      </c>
      <c r="AA89" s="28">
        <v>4.4605809128630707E-2</v>
      </c>
      <c r="AB89" s="28">
        <v>7.2614107883817433E-2</v>
      </c>
      <c r="AC89" s="28">
        <f>7/100</f>
        <v>7.0000000000000007E-2</v>
      </c>
    </row>
    <row r="90" spans="1:29" x14ac:dyDescent="0.15">
      <c r="A90" s="28" t="s">
        <v>59</v>
      </c>
      <c r="B90" s="28">
        <f t="shared" ref="B90:P90" si="13">B76/B$78</f>
        <v>2.6881720430107527E-2</v>
      </c>
      <c r="C90" s="28">
        <f t="shared" si="13"/>
        <v>2.2167487684729065E-2</v>
      </c>
      <c r="D90" s="28">
        <f t="shared" si="13"/>
        <v>2.8771929824561403E-2</v>
      </c>
      <c r="E90" s="28">
        <f t="shared" si="13"/>
        <v>2.6011560693641619E-2</v>
      </c>
      <c r="F90" s="28">
        <f t="shared" si="13"/>
        <v>3.5236938031591739E-2</v>
      </c>
      <c r="G90" s="28">
        <f t="shared" si="13"/>
        <v>2.8345418589321027E-2</v>
      </c>
      <c r="H90" s="28">
        <f t="shared" si="13"/>
        <v>2.7118644067796609E-2</v>
      </c>
      <c r="I90" s="28">
        <f t="shared" si="13"/>
        <v>4.4605809128630707E-2</v>
      </c>
      <c r="J90" s="28">
        <f t="shared" si="13"/>
        <v>3.0927835051546393E-2</v>
      </c>
      <c r="K90" s="28">
        <f t="shared" si="13"/>
        <v>2.3809523809523808E-2</v>
      </c>
      <c r="L90" s="28">
        <f t="shared" si="13"/>
        <v>1.8691588785046728E-2</v>
      </c>
      <c r="M90" s="28">
        <f t="shared" si="13"/>
        <v>1.9607843137254902E-2</v>
      </c>
      <c r="N90" s="28">
        <f t="shared" si="13"/>
        <v>2.3696682464454975E-2</v>
      </c>
      <c r="O90" s="28">
        <f t="shared" si="13"/>
        <v>5.1612903225806452E-2</v>
      </c>
      <c r="P90" s="28">
        <f t="shared" si="13"/>
        <v>4.0816326530612242E-2</v>
      </c>
      <c r="S90" s="28">
        <v>0.59204712812960236</v>
      </c>
      <c r="T90" s="28">
        <v>0.101620029455081</v>
      </c>
      <c r="U90" s="28">
        <v>6.0382916053019146E-2</v>
      </c>
      <c r="V90" s="28">
        <v>3.8291605301914583E-2</v>
      </c>
      <c r="W90" s="28">
        <v>3.9764359351988215E-2</v>
      </c>
      <c r="X90" s="28">
        <v>1.4727540500736377E-2</v>
      </c>
      <c r="Y90" s="28">
        <v>1.9145802650957292E-2</v>
      </c>
      <c r="Z90" s="28">
        <v>3.0927835051546393E-2</v>
      </c>
      <c r="AA90" s="28">
        <v>3.0927835051546393E-2</v>
      </c>
      <c r="AB90" s="28">
        <v>7.2164948453608241E-2</v>
      </c>
      <c r="AC90" s="28">
        <f>7/100</f>
        <v>7.0000000000000007E-2</v>
      </c>
    </row>
    <row r="91" spans="1:29" x14ac:dyDescent="0.15">
      <c r="A91" s="28" t="s">
        <v>60</v>
      </c>
      <c r="B91" s="28">
        <f t="shared" ref="B91:P91" si="14">B77/B$78</f>
        <v>2.1505376344086023E-2</v>
      </c>
      <c r="C91" s="28">
        <f>C77/C$78</f>
        <v>5.7881773399014777E-2</v>
      </c>
      <c r="D91" s="28">
        <f t="shared" si="14"/>
        <v>5.1929824561403506E-2</v>
      </c>
      <c r="E91" s="28">
        <f t="shared" si="14"/>
        <v>6.4161849710982655E-2</v>
      </c>
      <c r="F91" s="28">
        <f t="shared" si="14"/>
        <v>5.7715674362089915E-2</v>
      </c>
      <c r="G91" s="28">
        <f t="shared" si="14"/>
        <v>6.9215557020435067E-2</v>
      </c>
      <c r="H91" s="28">
        <f t="shared" si="14"/>
        <v>8.3898305084745758E-2</v>
      </c>
      <c r="I91" s="28">
        <f t="shared" si="14"/>
        <v>7.2614107883817433E-2</v>
      </c>
      <c r="J91" s="28">
        <f t="shared" si="14"/>
        <v>7.2164948453608241E-2</v>
      </c>
      <c r="K91" s="28">
        <f t="shared" si="14"/>
        <v>5.7539682539682536E-2</v>
      </c>
      <c r="L91" s="28">
        <f t="shared" si="14"/>
        <v>8.4112149532710276E-2</v>
      </c>
      <c r="M91" s="28">
        <f t="shared" si="14"/>
        <v>7.8431372549019607E-2</v>
      </c>
      <c r="N91" s="28">
        <f t="shared" si="14"/>
        <v>8.0568720379146919E-2</v>
      </c>
      <c r="O91" s="28">
        <f t="shared" si="14"/>
        <v>3.870967741935484E-2</v>
      </c>
      <c r="P91" s="28">
        <f t="shared" si="14"/>
        <v>9.1836734693877556E-2</v>
      </c>
      <c r="S91" s="28">
        <v>0.58531746031746035</v>
      </c>
      <c r="T91" s="28">
        <v>0.10912698412698413</v>
      </c>
      <c r="U91" s="28">
        <v>5.5555555555555552E-2</v>
      </c>
      <c r="V91" s="28">
        <v>3.1746031746031744E-2</v>
      </c>
      <c r="W91" s="28">
        <v>4.1666666666666664E-2</v>
      </c>
      <c r="X91" s="28">
        <v>3.1746031746031744E-2</v>
      </c>
      <c r="Y91" s="28">
        <v>2.976190476190476E-2</v>
      </c>
      <c r="Z91" s="28">
        <v>3.3730158730158728E-2</v>
      </c>
      <c r="AA91" s="28">
        <v>2.3809523809523808E-2</v>
      </c>
      <c r="AB91" s="28">
        <v>5.7539682539682536E-2</v>
      </c>
      <c r="AC91" s="28">
        <f>7/50</f>
        <v>0.14000000000000001</v>
      </c>
    </row>
    <row r="92" spans="1:29" x14ac:dyDescent="0.15">
      <c r="A92" s="28" t="s">
        <v>78</v>
      </c>
      <c r="B92" s="57">
        <f>$AC82</f>
        <v>-0.37</v>
      </c>
      <c r="C92" s="57">
        <f>$AC83</f>
        <v>-0.37</v>
      </c>
      <c r="D92" s="57">
        <f>$AC84</f>
        <v>-0.7</v>
      </c>
      <c r="E92" s="57">
        <f>$AC85</f>
        <v>-0.33</v>
      </c>
      <c r="F92" s="57">
        <f>$AC86</f>
        <v>-0.33</v>
      </c>
      <c r="G92" s="57">
        <f>$AC87</f>
        <v>-0.37</v>
      </c>
      <c r="H92" s="57">
        <f>$AC88</f>
        <v>-0.02</v>
      </c>
      <c r="I92" s="57">
        <f>$AC89</f>
        <v>7.0000000000000007E-2</v>
      </c>
      <c r="J92" s="57">
        <f>$AC90</f>
        <v>7.0000000000000007E-2</v>
      </c>
      <c r="K92" s="57">
        <f>$AC91</f>
        <v>0.14000000000000001</v>
      </c>
      <c r="L92" s="57">
        <f>$AC92</f>
        <v>-0.46</v>
      </c>
      <c r="M92" s="57">
        <f>$AC93</f>
        <v>-0.33</v>
      </c>
      <c r="N92" s="57">
        <f>$AC94</f>
        <v>-0.15</v>
      </c>
      <c r="O92" s="57">
        <f>$AC95</f>
        <v>0.21</v>
      </c>
      <c r="P92" s="57">
        <f>$AC96</f>
        <v>1.2</v>
      </c>
      <c r="S92" s="28">
        <v>0.64018691588785048</v>
      </c>
      <c r="T92" s="28">
        <v>6.7757009345794386E-2</v>
      </c>
      <c r="U92" s="28">
        <v>5.3738317757009345E-2</v>
      </c>
      <c r="V92" s="28">
        <v>3.5046728971962614E-2</v>
      </c>
      <c r="W92" s="28">
        <v>2.5700934579439252E-2</v>
      </c>
      <c r="X92" s="28">
        <v>2.1028037383177569E-2</v>
      </c>
      <c r="Y92" s="28">
        <v>2.336448598130841E-2</v>
      </c>
      <c r="Z92" s="28">
        <v>3.0373831775700934E-2</v>
      </c>
      <c r="AA92" s="28">
        <v>1.8691588785046728E-2</v>
      </c>
      <c r="AB92" s="28">
        <v>8.4112149532710276E-2</v>
      </c>
      <c r="AC92" s="28">
        <f>-23/50</f>
        <v>-0.46</v>
      </c>
    </row>
    <row r="93" spans="1:29" x14ac:dyDescent="0.15">
      <c r="S93" s="28">
        <v>0.62745098039215685</v>
      </c>
      <c r="T93" s="28">
        <v>8.4967320261437912E-2</v>
      </c>
      <c r="U93" s="28">
        <v>5.8823529411764705E-2</v>
      </c>
      <c r="V93" s="28">
        <v>3.9215686274509803E-2</v>
      </c>
      <c r="W93" s="28">
        <v>3.5947712418300651E-2</v>
      </c>
      <c r="X93" s="28">
        <v>1.9607843137254902E-2</v>
      </c>
      <c r="Y93" s="28">
        <v>1.3071895424836602E-2</v>
      </c>
      <c r="Z93" s="28">
        <v>2.2875816993464051E-2</v>
      </c>
      <c r="AA93" s="28">
        <v>1.9607843137254902E-2</v>
      </c>
      <c r="AB93" s="28">
        <v>7.8431372549019607E-2</v>
      </c>
      <c r="AC93" s="28">
        <f>-33/100</f>
        <v>-0.33</v>
      </c>
    </row>
    <row r="94" spans="1:29" x14ac:dyDescent="0.15">
      <c r="S94" s="28">
        <v>0.61611374407582942</v>
      </c>
      <c r="T94" s="28">
        <v>6.6350710900473939E-2</v>
      </c>
      <c r="U94" s="28">
        <v>5.2132701421800945E-2</v>
      </c>
      <c r="V94" s="28">
        <v>2.3696682464454975E-2</v>
      </c>
      <c r="W94" s="28">
        <v>4.7393364928909949E-2</v>
      </c>
      <c r="X94" s="28">
        <v>1.4218009478672985E-2</v>
      </c>
      <c r="Y94" s="28">
        <v>4.7393364928909949E-2</v>
      </c>
      <c r="Z94" s="28">
        <v>2.843601895734597E-2</v>
      </c>
      <c r="AA94" s="28">
        <v>2.3696682464454975E-2</v>
      </c>
      <c r="AB94" s="28">
        <v>8.0568720379146919E-2</v>
      </c>
      <c r="AC94" s="28">
        <f>-3/20</f>
        <v>-0.15</v>
      </c>
    </row>
    <row r="95" spans="1:29" x14ac:dyDescent="0.15">
      <c r="S95" s="28">
        <v>0.5741935483870968</v>
      </c>
      <c r="T95" s="28">
        <v>0.14193548387096774</v>
      </c>
      <c r="U95" s="28">
        <v>6.4516129032258063E-2</v>
      </c>
      <c r="V95" s="28">
        <v>1.935483870967742E-2</v>
      </c>
      <c r="W95" s="28">
        <v>3.2258064516129031E-2</v>
      </c>
      <c r="X95" s="28">
        <v>1.935483870967742E-2</v>
      </c>
      <c r="Y95" s="28">
        <v>3.2258064516129031E-2</v>
      </c>
      <c r="Z95" s="28">
        <v>2.5806451612903226E-2</v>
      </c>
      <c r="AA95" s="28">
        <v>5.1612903225806452E-2</v>
      </c>
      <c r="AB95" s="28">
        <v>3.870967741935484E-2</v>
      </c>
      <c r="AC95" s="28">
        <f>21/100</f>
        <v>0.21</v>
      </c>
    </row>
    <row r="96" spans="1:29" x14ac:dyDescent="0.15">
      <c r="S96" s="28">
        <v>0.53061224489795922</v>
      </c>
      <c r="T96" s="28">
        <v>7.1428571428571425E-2</v>
      </c>
      <c r="U96" s="28">
        <v>5.1020408163265307E-2</v>
      </c>
      <c r="V96" s="28">
        <v>5.1020408163265307E-2</v>
      </c>
      <c r="W96" s="28">
        <v>3.0612244897959183E-2</v>
      </c>
      <c r="X96" s="28">
        <v>4.0816326530612242E-2</v>
      </c>
      <c r="Y96" s="28">
        <v>4.0816326530612242E-2</v>
      </c>
      <c r="Z96" s="28">
        <v>5.1020408163265307E-2</v>
      </c>
      <c r="AA96" s="28">
        <v>4.0816326530612242E-2</v>
      </c>
      <c r="AB96" s="28">
        <v>9.1836734693877556E-2</v>
      </c>
      <c r="AC96" s="28">
        <f>6/5</f>
        <v>1.2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workbookViewId="0">
      <selection activeCell="Z37" sqref="Z37"/>
    </sheetView>
  </sheetViews>
  <sheetFormatPr baseColWidth="10" defaultRowHeight="15" x14ac:dyDescent="0.15"/>
  <cols>
    <col min="1" max="1" width="10.83203125" style="28"/>
    <col min="2" max="16" width="16.5" style="28" bestFit="1" customWidth="1"/>
    <col min="17" max="16384" width="10.83203125" style="28"/>
  </cols>
  <sheetData>
    <row r="1" spans="1:16" x14ac:dyDescent="0.15">
      <c r="A1" s="27"/>
      <c r="B1" s="23" t="s">
        <v>346</v>
      </c>
      <c r="C1" s="23" t="s">
        <v>79</v>
      </c>
      <c r="D1" s="23" t="s">
        <v>80</v>
      </c>
      <c r="E1" s="23" t="s">
        <v>81</v>
      </c>
      <c r="F1" s="23" t="s">
        <v>82</v>
      </c>
      <c r="G1" s="23" t="s">
        <v>83</v>
      </c>
      <c r="H1" s="23" t="s">
        <v>84</v>
      </c>
      <c r="I1" s="23" t="s">
        <v>85</v>
      </c>
      <c r="J1" s="23" t="s">
        <v>86</v>
      </c>
      <c r="K1" s="23" t="s">
        <v>87</v>
      </c>
      <c r="L1" s="23" t="s">
        <v>88</v>
      </c>
      <c r="M1" s="23" t="s">
        <v>89</v>
      </c>
      <c r="N1" s="23" t="s">
        <v>90</v>
      </c>
      <c r="O1" s="23" t="s">
        <v>91</v>
      </c>
      <c r="P1" s="23" t="s">
        <v>92</v>
      </c>
    </row>
    <row r="2" spans="1:16" x14ac:dyDescent="0.15">
      <c r="A2" s="28" t="s">
        <v>23</v>
      </c>
      <c r="B2" s="28" t="s">
        <v>25</v>
      </c>
      <c r="C2" s="28" t="s">
        <v>25</v>
      </c>
      <c r="D2" s="28" t="s">
        <v>25</v>
      </c>
      <c r="E2" s="28" t="s">
        <v>25</v>
      </c>
      <c r="F2" s="28" t="s">
        <v>25</v>
      </c>
      <c r="G2" s="28" t="s">
        <v>25</v>
      </c>
      <c r="H2" s="28" t="s">
        <v>25</v>
      </c>
      <c r="I2" s="28" t="s">
        <v>25</v>
      </c>
      <c r="J2" s="28" t="s">
        <v>25</v>
      </c>
      <c r="K2" s="28" t="s">
        <v>25</v>
      </c>
      <c r="L2" s="28" t="s">
        <v>25</v>
      </c>
      <c r="M2" s="28" t="s">
        <v>25</v>
      </c>
      <c r="N2" s="28" t="s">
        <v>25</v>
      </c>
      <c r="O2" s="28" t="s">
        <v>25</v>
      </c>
      <c r="P2" s="28" t="s">
        <v>25</v>
      </c>
    </row>
    <row r="3" spans="1:16" x14ac:dyDescent="0.15">
      <c r="A3" s="28" t="s">
        <v>52</v>
      </c>
      <c r="B3" s="28">
        <f>[95]PARS_cds_1_stat_loop_AT_GC_freq!B2</f>
        <v>407</v>
      </c>
      <c r="C3" s="28">
        <f>[96]PARS_cds_2_stat_loop_AT_GC_freq!B2</f>
        <v>510</v>
      </c>
      <c r="D3" s="28">
        <f>[97]PARS_cds_3_stat_loop_AT_GC_freq!B2</f>
        <v>445</v>
      </c>
      <c r="E3" s="28">
        <f>[98]PARS_cds_4_stat_loop_AT_GC_freq!B2</f>
        <v>554</v>
      </c>
      <c r="F3" s="28">
        <f>[99]PARS_cds_5_stat_loop_AT_GC_freq!B2</f>
        <v>482</v>
      </c>
      <c r="G3" s="28">
        <f>[100]PARS_cds_6_stat_loop_AT_GC_freq!B2</f>
        <v>410</v>
      </c>
      <c r="H3" s="28">
        <f>[101]PARS_cds_7_stat_loop_AT_GC_freq!B2</f>
        <v>332</v>
      </c>
      <c r="I3" s="28">
        <f>[102]PARS_cds_8_stat_loop_AT_GC_freq!B2</f>
        <v>308</v>
      </c>
      <c r="J3" s="28">
        <f>[103]PARS_cds_9_stat_loop_AT_GC_freq!B2</f>
        <v>211</v>
      </c>
      <c r="K3" s="28">
        <f>[104]PARS_cds_10_stat_loop_AT_GC_fre!B2</f>
        <v>195</v>
      </c>
      <c r="L3" s="28">
        <f>[105]PARS_cds_11_stat_loop_AT_GC_fre!B2</f>
        <v>145</v>
      </c>
      <c r="M3" s="28">
        <f>[106]PARS_cds_12_stat_loop_AT_GC_fre!B2</f>
        <v>116</v>
      </c>
      <c r="N3" s="28">
        <f>[107]PARS_cds_13_stat_loop_AT_GC_fre!B2</f>
        <v>110</v>
      </c>
      <c r="O3" s="28">
        <f>[108]PARS_cds_14_stat_loop_AT_GC_fre!B2</f>
        <v>96</v>
      </c>
      <c r="P3" s="28">
        <f>[109]PARS_cds_15_stat_loop_AT_GC_fre!B2</f>
        <v>80</v>
      </c>
    </row>
    <row r="4" spans="1:16" x14ac:dyDescent="0.15">
      <c r="A4" s="28" t="s">
        <v>38</v>
      </c>
      <c r="B4" s="28">
        <f>[95]PARS_cds_1_stat_loop_AT_GC_freq!B3</f>
        <v>63</v>
      </c>
      <c r="C4" s="28">
        <f>[96]PARS_cds_2_stat_loop_AT_GC_freq!B3</f>
        <v>76</v>
      </c>
      <c r="D4" s="28">
        <f>[97]PARS_cds_3_stat_loop_AT_GC_freq!B3</f>
        <v>77</v>
      </c>
      <c r="E4" s="28">
        <f>[98]PARS_cds_4_stat_loop_AT_GC_freq!B3</f>
        <v>124</v>
      </c>
      <c r="F4" s="28">
        <f>[99]PARS_cds_5_stat_loop_AT_GC_freq!B3</f>
        <v>91</v>
      </c>
      <c r="G4" s="28">
        <f>[100]PARS_cds_6_stat_loop_AT_GC_freq!B3</f>
        <v>64</v>
      </c>
      <c r="H4" s="28">
        <f>[101]PARS_cds_7_stat_loop_AT_GC_freq!B3</f>
        <v>61</v>
      </c>
      <c r="I4" s="28">
        <f>[102]PARS_cds_8_stat_loop_AT_GC_freq!B3</f>
        <v>58</v>
      </c>
      <c r="J4" s="28">
        <f>[103]PARS_cds_9_stat_loop_AT_GC_freq!B3</f>
        <v>36</v>
      </c>
      <c r="K4" s="28">
        <f>[104]PARS_cds_10_stat_loop_AT_GC_fre!B3</f>
        <v>27</v>
      </c>
      <c r="L4" s="28">
        <f>[105]PARS_cds_11_stat_loop_AT_GC_fre!B3</f>
        <v>27</v>
      </c>
      <c r="M4" s="28">
        <f>[106]PARS_cds_12_stat_loop_AT_GC_fre!B3</f>
        <v>18</v>
      </c>
      <c r="N4" s="28">
        <f>[107]PARS_cds_13_stat_loop_AT_GC_fre!B3</f>
        <v>12</v>
      </c>
      <c r="O4" s="28">
        <f>[108]PARS_cds_14_stat_loop_AT_GC_fre!B3</f>
        <v>14</v>
      </c>
      <c r="P4" s="28">
        <f>[109]PARS_cds_15_stat_loop_AT_GC_fre!B3</f>
        <v>8</v>
      </c>
    </row>
    <row r="5" spans="1:16" x14ac:dyDescent="0.15">
      <c r="A5" s="28" t="s">
        <v>53</v>
      </c>
      <c r="B5" s="28">
        <f>[95]PARS_cds_1_stat_loop_AT_GC_freq!B4</f>
        <v>56</v>
      </c>
      <c r="C5" s="28">
        <f>[96]PARS_cds_2_stat_loop_AT_GC_freq!B4</f>
        <v>57</v>
      </c>
      <c r="D5" s="28">
        <f>[97]PARS_cds_3_stat_loop_AT_GC_freq!B4</f>
        <v>53</v>
      </c>
      <c r="E5" s="28">
        <f>[98]PARS_cds_4_stat_loop_AT_GC_freq!B4</f>
        <v>55</v>
      </c>
      <c r="F5" s="28">
        <f>[99]PARS_cds_5_stat_loop_AT_GC_freq!B4</f>
        <v>41</v>
      </c>
      <c r="G5" s="28">
        <f>[100]PARS_cds_6_stat_loop_AT_GC_freq!B4</f>
        <v>49</v>
      </c>
      <c r="H5" s="28">
        <f>[101]PARS_cds_7_stat_loop_AT_GC_freq!B4</f>
        <v>38</v>
      </c>
      <c r="I5" s="28">
        <f>[102]PARS_cds_8_stat_loop_AT_GC_freq!B4</f>
        <v>36</v>
      </c>
      <c r="J5" s="28">
        <f>[103]PARS_cds_9_stat_loop_AT_GC_freq!B4</f>
        <v>29</v>
      </c>
      <c r="K5" s="28">
        <f>[104]PARS_cds_10_stat_loop_AT_GC_fre!B4</f>
        <v>18</v>
      </c>
      <c r="L5" s="28">
        <f>[105]PARS_cds_11_stat_loop_AT_GC_fre!B4</f>
        <v>14</v>
      </c>
      <c r="M5" s="28">
        <f>[106]PARS_cds_12_stat_loop_AT_GC_fre!B4</f>
        <v>6</v>
      </c>
      <c r="N5" s="28">
        <f>[107]PARS_cds_13_stat_loop_AT_GC_fre!B4</f>
        <v>4</v>
      </c>
      <c r="O5" s="28">
        <f>[108]PARS_cds_14_stat_loop_AT_GC_fre!B4</f>
        <v>8</v>
      </c>
      <c r="P5" s="28">
        <f>[109]PARS_cds_15_stat_loop_AT_GC_fre!B4</f>
        <v>7</v>
      </c>
    </row>
    <row r="6" spans="1:16" x14ac:dyDescent="0.15">
      <c r="A6" s="28" t="s">
        <v>54</v>
      </c>
      <c r="B6" s="28">
        <f>[95]PARS_cds_1_stat_loop_AT_GC_freq!B5</f>
        <v>39</v>
      </c>
      <c r="C6" s="28">
        <f>[96]PARS_cds_2_stat_loop_AT_GC_freq!B5</f>
        <v>27</v>
      </c>
      <c r="D6" s="28">
        <f>[97]PARS_cds_3_stat_loop_AT_GC_freq!B5</f>
        <v>35</v>
      </c>
      <c r="E6" s="28">
        <f>[98]PARS_cds_4_stat_loop_AT_GC_freq!B5</f>
        <v>42</v>
      </c>
      <c r="F6" s="28">
        <f>[99]PARS_cds_5_stat_loop_AT_GC_freq!B5</f>
        <v>35</v>
      </c>
      <c r="G6" s="28">
        <f>[100]PARS_cds_6_stat_loop_AT_GC_freq!B5</f>
        <v>28</v>
      </c>
      <c r="H6" s="28">
        <f>[101]PARS_cds_7_stat_loop_AT_GC_freq!B5</f>
        <v>28</v>
      </c>
      <c r="I6" s="28">
        <f>[102]PARS_cds_8_stat_loop_AT_GC_freq!B5</f>
        <v>19</v>
      </c>
      <c r="J6" s="28">
        <f>[103]PARS_cds_9_stat_loop_AT_GC_freq!B5</f>
        <v>14</v>
      </c>
      <c r="K6" s="28">
        <f>[104]PARS_cds_10_stat_loop_AT_GC_fre!B5</f>
        <v>10</v>
      </c>
      <c r="L6" s="28">
        <f>[105]PARS_cds_11_stat_loop_AT_GC_fre!B5</f>
        <v>14</v>
      </c>
      <c r="M6" s="28">
        <f>[106]PARS_cds_12_stat_loop_AT_GC_fre!B5</f>
        <v>7</v>
      </c>
      <c r="N6" s="28">
        <f>[107]PARS_cds_13_stat_loop_AT_GC_fre!B5</f>
        <v>6</v>
      </c>
      <c r="O6" s="28">
        <f>[108]PARS_cds_14_stat_loop_AT_GC_fre!B5</f>
        <v>3</v>
      </c>
      <c r="P6" s="28">
        <f>[109]PARS_cds_15_stat_loop_AT_GC_fre!B5</f>
        <v>8</v>
      </c>
    </row>
    <row r="7" spans="1:16" x14ac:dyDescent="0.15">
      <c r="A7" s="28" t="s">
        <v>55</v>
      </c>
      <c r="B7" s="28">
        <f>[95]PARS_cds_1_stat_loop_AT_GC_freq!B6</f>
        <v>26</v>
      </c>
      <c r="C7" s="28">
        <f>[96]PARS_cds_2_stat_loop_AT_GC_freq!B6</f>
        <v>30</v>
      </c>
      <c r="D7" s="28">
        <f>[97]PARS_cds_3_stat_loop_AT_GC_freq!B6</f>
        <v>23</v>
      </c>
      <c r="E7" s="28">
        <f>[98]PARS_cds_4_stat_loop_AT_GC_freq!B6</f>
        <v>36</v>
      </c>
      <c r="F7" s="28">
        <f>[99]PARS_cds_5_stat_loop_AT_GC_freq!B6</f>
        <v>30</v>
      </c>
      <c r="G7" s="28">
        <f>[100]PARS_cds_6_stat_loop_AT_GC_freq!B6</f>
        <v>38</v>
      </c>
      <c r="H7" s="28">
        <f>[101]PARS_cds_7_stat_loop_AT_GC_freq!B6</f>
        <v>20</v>
      </c>
      <c r="I7" s="28">
        <f>[102]PARS_cds_8_stat_loop_AT_GC_freq!B6</f>
        <v>19</v>
      </c>
      <c r="J7" s="28">
        <f>[103]PARS_cds_9_stat_loop_AT_GC_freq!B6</f>
        <v>16</v>
      </c>
      <c r="K7" s="28">
        <f>[104]PARS_cds_10_stat_loop_AT_GC_fre!B6</f>
        <v>12</v>
      </c>
      <c r="L7" s="28">
        <f>[105]PARS_cds_11_stat_loop_AT_GC_fre!B6</f>
        <v>17</v>
      </c>
      <c r="M7" s="28">
        <f>[106]PARS_cds_12_stat_loop_AT_GC_fre!B6</f>
        <v>6</v>
      </c>
      <c r="N7" s="28">
        <f>[107]PARS_cds_13_stat_loop_AT_GC_fre!B6</f>
        <v>9</v>
      </c>
      <c r="O7" s="28">
        <f>[108]PARS_cds_14_stat_loop_AT_GC_fre!B6</f>
        <v>5</v>
      </c>
      <c r="P7" s="28">
        <f>[109]PARS_cds_15_stat_loop_AT_GC_fre!B6</f>
        <v>4</v>
      </c>
    </row>
    <row r="8" spans="1:16" x14ac:dyDescent="0.15">
      <c r="A8" s="28" t="s">
        <v>56</v>
      </c>
      <c r="B8" s="28">
        <f>[95]PARS_cds_1_stat_loop_AT_GC_freq!B7</f>
        <v>18</v>
      </c>
      <c r="C8" s="28">
        <f>[96]PARS_cds_2_stat_loop_AT_GC_freq!B7</f>
        <v>34</v>
      </c>
      <c r="D8" s="28">
        <f>[97]PARS_cds_3_stat_loop_AT_GC_freq!B7</f>
        <v>21</v>
      </c>
      <c r="E8" s="28">
        <f>[98]PARS_cds_4_stat_loop_AT_GC_freq!B7</f>
        <v>33</v>
      </c>
      <c r="F8" s="28">
        <f>[99]PARS_cds_5_stat_loop_AT_GC_freq!B7</f>
        <v>29</v>
      </c>
      <c r="G8" s="28">
        <f>[100]PARS_cds_6_stat_loop_AT_GC_freq!B7</f>
        <v>19</v>
      </c>
      <c r="H8" s="28">
        <f>[101]PARS_cds_7_stat_loop_AT_GC_freq!B7</f>
        <v>26</v>
      </c>
      <c r="I8" s="28">
        <f>[102]PARS_cds_8_stat_loop_AT_GC_freq!B7</f>
        <v>17</v>
      </c>
      <c r="J8" s="28">
        <f>[103]PARS_cds_9_stat_loop_AT_GC_freq!B7</f>
        <v>16</v>
      </c>
      <c r="K8" s="28">
        <f>[104]PARS_cds_10_stat_loop_AT_GC_fre!B7</f>
        <v>14</v>
      </c>
      <c r="L8" s="28">
        <f>[105]PARS_cds_11_stat_loop_AT_GC_fre!B7</f>
        <v>12</v>
      </c>
      <c r="M8" s="28">
        <f>[106]PARS_cds_12_stat_loop_AT_GC_fre!B7</f>
        <v>8</v>
      </c>
      <c r="N8" s="28">
        <f>[107]PARS_cds_13_stat_loop_AT_GC_fre!B7</f>
        <v>8</v>
      </c>
      <c r="O8" s="28">
        <f>[108]PARS_cds_14_stat_loop_AT_GC_fre!B7</f>
        <v>5</v>
      </c>
      <c r="P8" s="28">
        <f>[109]PARS_cds_15_stat_loop_AT_GC_fre!B7</f>
        <v>5</v>
      </c>
    </row>
    <row r="9" spans="1:16" x14ac:dyDescent="0.15">
      <c r="A9" s="28" t="s">
        <v>57</v>
      </c>
      <c r="B9" s="28">
        <f>[95]PARS_cds_1_stat_loop_AT_GC_freq!B8</f>
        <v>23</v>
      </c>
      <c r="C9" s="28">
        <f>[96]PARS_cds_2_stat_loop_AT_GC_freq!B8</f>
        <v>26</v>
      </c>
      <c r="D9" s="28">
        <f>[97]PARS_cds_3_stat_loop_AT_GC_freq!B8</f>
        <v>16</v>
      </c>
      <c r="E9" s="28">
        <f>[98]PARS_cds_4_stat_loop_AT_GC_freq!B8</f>
        <v>31</v>
      </c>
      <c r="F9" s="28">
        <f>[99]PARS_cds_5_stat_loop_AT_GC_freq!B8</f>
        <v>20</v>
      </c>
      <c r="G9" s="28">
        <f>[100]PARS_cds_6_stat_loop_AT_GC_freq!B8</f>
        <v>13</v>
      </c>
      <c r="H9" s="28">
        <f>[101]PARS_cds_7_stat_loop_AT_GC_freq!B8</f>
        <v>6</v>
      </c>
      <c r="I9" s="28">
        <f>[102]PARS_cds_8_stat_loop_AT_GC_freq!B8</f>
        <v>15</v>
      </c>
      <c r="J9" s="28">
        <f>[103]PARS_cds_9_stat_loop_AT_GC_freq!B8</f>
        <v>9</v>
      </c>
      <c r="K9" s="28">
        <f>[104]PARS_cds_10_stat_loop_AT_GC_fre!B8</f>
        <v>9</v>
      </c>
      <c r="L9" s="28">
        <f>[105]PARS_cds_11_stat_loop_AT_GC_fre!B8</f>
        <v>6</v>
      </c>
      <c r="M9" s="28">
        <f>[106]PARS_cds_12_stat_loop_AT_GC_fre!B8</f>
        <v>9</v>
      </c>
      <c r="N9" s="28">
        <f>[107]PARS_cds_13_stat_loop_AT_GC_fre!B8</f>
        <v>3</v>
      </c>
      <c r="O9" s="28">
        <f>[108]PARS_cds_14_stat_loop_AT_GC_fre!B8</f>
        <v>4</v>
      </c>
      <c r="P9" s="28">
        <f>[109]PARS_cds_15_stat_loop_AT_GC_fre!B8</f>
        <v>2</v>
      </c>
    </row>
    <row r="10" spans="1:16" x14ac:dyDescent="0.15">
      <c r="A10" s="28" t="s">
        <v>58</v>
      </c>
      <c r="B10" s="28">
        <f>[95]PARS_cds_1_stat_loop_AT_GC_freq!B9</f>
        <v>23</v>
      </c>
      <c r="C10" s="28">
        <f>[96]PARS_cds_2_stat_loop_AT_GC_freq!B9</f>
        <v>29</v>
      </c>
      <c r="D10" s="28">
        <f>[97]PARS_cds_3_stat_loop_AT_GC_freq!B9</f>
        <v>20</v>
      </c>
      <c r="E10" s="28">
        <f>[98]PARS_cds_4_stat_loop_AT_GC_freq!B9</f>
        <v>26</v>
      </c>
      <c r="F10" s="28">
        <f>[99]PARS_cds_5_stat_loop_AT_GC_freq!B9</f>
        <v>28</v>
      </c>
      <c r="G10" s="28">
        <f>[100]PARS_cds_6_stat_loop_AT_GC_freq!B9</f>
        <v>22</v>
      </c>
      <c r="H10" s="28">
        <f>[101]PARS_cds_7_stat_loop_AT_GC_freq!B9</f>
        <v>13</v>
      </c>
      <c r="I10" s="28">
        <f>[102]PARS_cds_8_stat_loop_AT_GC_freq!B9</f>
        <v>15</v>
      </c>
      <c r="J10" s="28">
        <f>[103]PARS_cds_9_stat_loop_AT_GC_freq!B9</f>
        <v>6</v>
      </c>
      <c r="K10" s="28">
        <f>[104]PARS_cds_10_stat_loop_AT_GC_fre!B9</f>
        <v>4</v>
      </c>
      <c r="L10" s="28">
        <f>[105]PARS_cds_11_stat_loop_AT_GC_fre!B9</f>
        <v>9</v>
      </c>
      <c r="M10" s="28">
        <f>[106]PARS_cds_12_stat_loop_AT_GC_fre!B9</f>
        <v>7</v>
      </c>
      <c r="N10" s="28">
        <f>[107]PARS_cds_13_stat_loop_AT_GC_fre!B9</f>
        <v>5</v>
      </c>
      <c r="O10" s="28">
        <f>[108]PARS_cds_14_stat_loop_AT_GC_fre!B9</f>
        <v>5</v>
      </c>
      <c r="P10" s="28">
        <f>[109]PARS_cds_15_stat_loop_AT_GC_fre!B9</f>
        <v>3</v>
      </c>
    </row>
    <row r="11" spans="1:16" x14ac:dyDescent="0.15">
      <c r="A11" s="28" t="s">
        <v>59</v>
      </c>
      <c r="B11" s="28">
        <f>[95]PARS_cds_1_stat_loop_AT_GC_freq!B10</f>
        <v>37</v>
      </c>
      <c r="C11" s="28">
        <f>[96]PARS_cds_2_stat_loop_AT_GC_freq!B10</f>
        <v>39</v>
      </c>
      <c r="D11" s="28">
        <f>[97]PARS_cds_3_stat_loop_AT_GC_freq!B10</f>
        <v>23</v>
      </c>
      <c r="E11" s="28">
        <f>[98]PARS_cds_4_stat_loop_AT_GC_freq!B10</f>
        <v>37</v>
      </c>
      <c r="F11" s="28">
        <f>[99]PARS_cds_5_stat_loop_AT_GC_freq!B10</f>
        <v>35</v>
      </c>
      <c r="G11" s="28">
        <f>[100]PARS_cds_6_stat_loop_AT_GC_freq!B10</f>
        <v>32</v>
      </c>
      <c r="H11" s="28">
        <f>[101]PARS_cds_7_stat_loop_AT_GC_freq!B10</f>
        <v>17</v>
      </c>
      <c r="I11" s="28">
        <f>[102]PARS_cds_8_stat_loop_AT_GC_freq!B10</f>
        <v>18</v>
      </c>
      <c r="J11" s="28">
        <f>[103]PARS_cds_9_stat_loop_AT_GC_freq!B10</f>
        <v>16</v>
      </c>
      <c r="K11" s="28">
        <f>[104]PARS_cds_10_stat_loop_AT_GC_fre!B10</f>
        <v>10</v>
      </c>
      <c r="L11" s="28">
        <f>[105]PARS_cds_11_stat_loop_AT_GC_fre!B10</f>
        <v>5</v>
      </c>
      <c r="M11" s="28">
        <f>[106]PARS_cds_12_stat_loop_AT_GC_fre!B10</f>
        <v>16</v>
      </c>
      <c r="N11" s="28">
        <f>[107]PARS_cds_13_stat_loop_AT_GC_fre!B10</f>
        <v>10</v>
      </c>
      <c r="O11" s="28">
        <f>[108]PARS_cds_14_stat_loop_AT_GC_fre!B10</f>
        <v>1</v>
      </c>
      <c r="P11" s="28">
        <f>[109]PARS_cds_15_stat_loop_AT_GC_fre!B10</f>
        <v>3</v>
      </c>
    </row>
    <row r="12" spans="1:16" x14ac:dyDescent="0.15">
      <c r="A12" s="28" t="s">
        <v>60</v>
      </c>
      <c r="B12" s="28">
        <f>[95]PARS_cds_1_stat_loop_AT_GC_freq!B11</f>
        <v>94</v>
      </c>
      <c r="C12" s="28">
        <f>[96]PARS_cds_2_stat_loop_AT_GC_freq!B11</f>
        <v>125</v>
      </c>
      <c r="D12" s="28">
        <f>[97]PARS_cds_3_stat_loop_AT_GC_freq!B11</f>
        <v>77</v>
      </c>
      <c r="E12" s="28">
        <f>[98]PARS_cds_4_stat_loop_AT_GC_freq!B11</f>
        <v>116</v>
      </c>
      <c r="F12" s="28">
        <f>[99]PARS_cds_5_stat_loop_AT_GC_freq!B11</f>
        <v>73</v>
      </c>
      <c r="G12" s="28">
        <f>[100]PARS_cds_6_stat_loop_AT_GC_freq!B11</f>
        <v>62</v>
      </c>
      <c r="H12" s="28">
        <f>[101]PARS_cds_7_stat_loop_AT_GC_freq!B11</f>
        <v>60</v>
      </c>
      <c r="I12" s="28">
        <f>[102]PARS_cds_8_stat_loop_AT_GC_freq!B11</f>
        <v>43</v>
      </c>
      <c r="J12" s="28">
        <f>[103]PARS_cds_9_stat_loop_AT_GC_freq!B11</f>
        <v>38</v>
      </c>
      <c r="K12" s="28">
        <f>[104]PARS_cds_10_stat_loop_AT_GC_fre!B11</f>
        <v>32</v>
      </c>
      <c r="L12" s="28">
        <f>[105]PARS_cds_11_stat_loop_AT_GC_fre!B11</f>
        <v>26</v>
      </c>
      <c r="M12" s="28">
        <f>[106]PARS_cds_12_stat_loop_AT_GC_fre!B11</f>
        <v>25</v>
      </c>
      <c r="N12" s="28">
        <f>[107]PARS_cds_13_stat_loop_AT_GC_fre!B11</f>
        <v>12</v>
      </c>
      <c r="O12" s="28">
        <f>[108]PARS_cds_14_stat_loop_AT_GC_fre!B11</f>
        <v>17</v>
      </c>
      <c r="P12" s="28">
        <f>[109]PARS_cds_15_stat_loop_AT_GC_fre!B11</f>
        <v>12</v>
      </c>
    </row>
    <row r="13" spans="1:16" x14ac:dyDescent="0.15">
      <c r="A13" s="28" t="s">
        <v>61</v>
      </c>
      <c r="B13" s="28">
        <f t="shared" ref="B13:P13" si="0">SUM(B3:B12)</f>
        <v>786</v>
      </c>
      <c r="C13" s="28">
        <f t="shared" si="0"/>
        <v>953</v>
      </c>
      <c r="D13" s="28">
        <f t="shared" si="0"/>
        <v>790</v>
      </c>
      <c r="E13" s="28">
        <f t="shared" si="0"/>
        <v>1054</v>
      </c>
      <c r="F13" s="28">
        <f t="shared" si="0"/>
        <v>864</v>
      </c>
      <c r="G13" s="28">
        <f t="shared" si="0"/>
        <v>737</v>
      </c>
      <c r="H13" s="28">
        <f t="shared" si="0"/>
        <v>601</v>
      </c>
      <c r="I13" s="28">
        <f t="shared" si="0"/>
        <v>548</v>
      </c>
      <c r="J13" s="28">
        <f t="shared" si="0"/>
        <v>391</v>
      </c>
      <c r="K13" s="28">
        <f t="shared" si="0"/>
        <v>331</v>
      </c>
      <c r="L13" s="28">
        <f t="shared" si="0"/>
        <v>275</v>
      </c>
      <c r="M13" s="28">
        <f t="shared" si="0"/>
        <v>218</v>
      </c>
      <c r="N13" s="28">
        <f t="shared" si="0"/>
        <v>179</v>
      </c>
      <c r="O13" s="28">
        <f t="shared" si="0"/>
        <v>158</v>
      </c>
      <c r="P13" s="28">
        <f t="shared" si="0"/>
        <v>132</v>
      </c>
    </row>
    <row r="16" spans="1:16" x14ac:dyDescent="0.15">
      <c r="A16" s="28" t="s">
        <v>23</v>
      </c>
      <c r="B16" s="28" t="s">
        <v>25</v>
      </c>
      <c r="C16" s="28" t="s">
        <v>25</v>
      </c>
      <c r="D16" s="28" t="s">
        <v>25</v>
      </c>
      <c r="E16" s="28" t="s">
        <v>25</v>
      </c>
      <c r="F16" s="28" t="s">
        <v>25</v>
      </c>
      <c r="G16" s="28" t="s">
        <v>25</v>
      </c>
      <c r="H16" s="28" t="s">
        <v>25</v>
      </c>
      <c r="I16" s="28" t="s">
        <v>25</v>
      </c>
      <c r="J16" s="28" t="s">
        <v>25</v>
      </c>
      <c r="K16" s="28" t="s">
        <v>25</v>
      </c>
      <c r="L16" s="28" t="s">
        <v>25</v>
      </c>
      <c r="M16" s="28" t="s">
        <v>25</v>
      </c>
      <c r="N16" s="28" t="s">
        <v>25</v>
      </c>
      <c r="O16" s="28" t="s">
        <v>25</v>
      </c>
      <c r="P16" s="28" t="s">
        <v>25</v>
      </c>
    </row>
    <row r="17" spans="1:29" x14ac:dyDescent="0.15">
      <c r="A17" s="28" t="s">
        <v>52</v>
      </c>
      <c r="B17" s="28">
        <f>B3/B$13</f>
        <v>0.51781170483460559</v>
      </c>
      <c r="C17" s="28">
        <f>C3/C$13</f>
        <v>0.53515215110178382</v>
      </c>
      <c r="D17" s="28">
        <f t="shared" ref="D17:P26" si="1">D3/D$13</f>
        <v>0.56329113924050633</v>
      </c>
      <c r="E17" s="28">
        <f t="shared" si="1"/>
        <v>0.52561669829222013</v>
      </c>
      <c r="F17" s="28">
        <f t="shared" si="1"/>
        <v>0.55787037037037035</v>
      </c>
      <c r="G17" s="28">
        <f t="shared" si="1"/>
        <v>0.55630936227951155</v>
      </c>
      <c r="H17" s="28">
        <f t="shared" si="1"/>
        <v>0.55241264559068215</v>
      </c>
      <c r="I17" s="28">
        <f t="shared" si="1"/>
        <v>0.56204379562043794</v>
      </c>
      <c r="J17" s="28">
        <f t="shared" si="1"/>
        <v>0.53964194373401531</v>
      </c>
      <c r="K17" s="28">
        <f t="shared" si="1"/>
        <v>0.58912386706948638</v>
      </c>
      <c r="L17" s="28">
        <f t="shared" si="1"/>
        <v>0.52727272727272723</v>
      </c>
      <c r="M17" s="28">
        <f t="shared" si="1"/>
        <v>0.5321100917431193</v>
      </c>
      <c r="N17" s="28">
        <f t="shared" si="1"/>
        <v>0.61452513966480449</v>
      </c>
      <c r="O17" s="28">
        <f t="shared" si="1"/>
        <v>0.60759493670886078</v>
      </c>
      <c r="P17" s="28">
        <f t="shared" si="1"/>
        <v>0.60606060606060608</v>
      </c>
      <c r="S17" s="57">
        <v>0.51781170483460559</v>
      </c>
      <c r="T17" s="57">
        <v>8.0152671755725186E-2</v>
      </c>
      <c r="U17" s="57">
        <v>7.124681933842239E-2</v>
      </c>
      <c r="V17" s="57">
        <v>4.9618320610687022E-2</v>
      </c>
      <c r="W17" s="57">
        <v>3.3078880407124679E-2</v>
      </c>
      <c r="X17" s="57">
        <v>2.2900763358778626E-2</v>
      </c>
      <c r="Y17" s="57">
        <v>2.9262086513994912E-2</v>
      </c>
      <c r="Z17" s="57">
        <v>2.9262086513994912E-2</v>
      </c>
      <c r="AA17" s="57">
        <v>4.7073791348600506E-2</v>
      </c>
      <c r="AB17" s="57">
        <v>0.11959287531806616</v>
      </c>
      <c r="AC17" s="57">
        <f>37/25</f>
        <v>1.48</v>
      </c>
    </row>
    <row r="18" spans="1:29" x14ac:dyDescent="0.15">
      <c r="A18" s="28" t="s">
        <v>38</v>
      </c>
      <c r="B18" s="28">
        <f t="shared" ref="B18:K26" si="2">B4/B$13</f>
        <v>8.0152671755725186E-2</v>
      </c>
      <c r="C18" s="28">
        <f t="shared" si="2"/>
        <v>7.9748163693599161E-2</v>
      </c>
      <c r="D18" s="28">
        <f t="shared" si="2"/>
        <v>9.7468354430379753E-2</v>
      </c>
      <c r="E18" s="28">
        <f t="shared" si="2"/>
        <v>0.11764705882352941</v>
      </c>
      <c r="F18" s="28">
        <f t="shared" si="2"/>
        <v>0.10532407407407407</v>
      </c>
      <c r="G18" s="28">
        <f t="shared" si="2"/>
        <v>8.6838534599728623E-2</v>
      </c>
      <c r="H18" s="28">
        <f t="shared" si="2"/>
        <v>0.10149750415973377</v>
      </c>
      <c r="I18" s="28">
        <f t="shared" si="2"/>
        <v>0.10583941605839416</v>
      </c>
      <c r="J18" s="28">
        <f t="shared" si="2"/>
        <v>9.2071611253196933E-2</v>
      </c>
      <c r="K18" s="28">
        <f t="shared" si="2"/>
        <v>8.1570996978851965E-2</v>
      </c>
      <c r="L18" s="28">
        <f t="shared" si="1"/>
        <v>9.8181818181818176E-2</v>
      </c>
      <c r="M18" s="28">
        <f t="shared" si="1"/>
        <v>8.2568807339449546E-2</v>
      </c>
      <c r="N18" s="28">
        <f t="shared" si="1"/>
        <v>6.7039106145251395E-2</v>
      </c>
      <c r="O18" s="28">
        <f t="shared" si="1"/>
        <v>8.8607594936708861E-2</v>
      </c>
      <c r="P18" s="28">
        <f t="shared" si="1"/>
        <v>6.0606060606060608E-2</v>
      </c>
      <c r="S18" s="57">
        <v>0.53515215110178382</v>
      </c>
      <c r="T18" s="57">
        <v>7.9748163693599161E-2</v>
      </c>
      <c r="U18" s="57">
        <v>5.9811122770199371E-2</v>
      </c>
      <c r="V18" s="57">
        <v>2.8331584470094439E-2</v>
      </c>
      <c r="W18" s="57">
        <v>3.1479538300104928E-2</v>
      </c>
      <c r="X18" s="57">
        <v>3.5676810073452254E-2</v>
      </c>
      <c r="Y18" s="57">
        <v>2.7282266526757609E-2</v>
      </c>
      <c r="Z18" s="57">
        <v>3.0430220356768102E-2</v>
      </c>
      <c r="AA18" s="57">
        <v>4.0923399790136414E-2</v>
      </c>
      <c r="AB18" s="57">
        <v>0.13116474291710389</v>
      </c>
      <c r="AC18" s="57">
        <f>59/50</f>
        <v>1.18</v>
      </c>
    </row>
    <row r="19" spans="1:29" x14ac:dyDescent="0.15">
      <c r="A19" s="28" t="s">
        <v>53</v>
      </c>
      <c r="B19" s="28">
        <f t="shared" si="2"/>
        <v>7.124681933842239E-2</v>
      </c>
      <c r="C19" s="28">
        <f t="shared" si="2"/>
        <v>5.9811122770199371E-2</v>
      </c>
      <c r="D19" s="28">
        <f t="shared" si="2"/>
        <v>6.7088607594936706E-2</v>
      </c>
      <c r="E19" s="28">
        <f t="shared" si="2"/>
        <v>5.218216318785579E-2</v>
      </c>
      <c r="F19" s="28">
        <f t="shared" si="2"/>
        <v>4.7453703703703706E-2</v>
      </c>
      <c r="G19" s="28">
        <f t="shared" si="2"/>
        <v>6.6485753052917235E-2</v>
      </c>
      <c r="H19" s="28">
        <f t="shared" si="2"/>
        <v>6.3227953410981697E-2</v>
      </c>
      <c r="I19" s="28">
        <f t="shared" si="2"/>
        <v>6.569343065693431E-2</v>
      </c>
      <c r="J19" s="28">
        <f t="shared" si="2"/>
        <v>7.4168797953964194E-2</v>
      </c>
      <c r="K19" s="28">
        <f t="shared" si="2"/>
        <v>5.4380664652567974E-2</v>
      </c>
      <c r="L19" s="28">
        <f t="shared" si="1"/>
        <v>5.0909090909090911E-2</v>
      </c>
      <c r="M19" s="28">
        <f t="shared" si="1"/>
        <v>2.7522935779816515E-2</v>
      </c>
      <c r="N19" s="28">
        <f t="shared" si="1"/>
        <v>2.23463687150838E-2</v>
      </c>
      <c r="O19" s="28">
        <f t="shared" si="1"/>
        <v>5.0632911392405063E-2</v>
      </c>
      <c r="P19" s="28">
        <f t="shared" si="1"/>
        <v>5.3030303030303032E-2</v>
      </c>
      <c r="S19" s="57">
        <v>0.56329113924050633</v>
      </c>
      <c r="T19" s="57">
        <v>9.7468354430379753E-2</v>
      </c>
      <c r="U19" s="57">
        <v>6.7088607594936706E-2</v>
      </c>
      <c r="V19" s="57">
        <v>4.4303797468354431E-2</v>
      </c>
      <c r="W19" s="57">
        <v>2.911392405063291E-2</v>
      </c>
      <c r="X19" s="57">
        <v>2.6582278481012658E-2</v>
      </c>
      <c r="Y19" s="57">
        <v>2.0253164556962026E-2</v>
      </c>
      <c r="Z19" s="57">
        <v>2.5316455696202531E-2</v>
      </c>
      <c r="AA19" s="57">
        <v>2.911392405063291E-2</v>
      </c>
      <c r="AB19" s="57">
        <v>9.7468354430379753E-2</v>
      </c>
      <c r="AC19" s="57">
        <f>12/25</f>
        <v>0.48</v>
      </c>
    </row>
    <row r="20" spans="1:29" x14ac:dyDescent="0.15">
      <c r="A20" s="28" t="s">
        <v>54</v>
      </c>
      <c r="B20" s="28">
        <f t="shared" si="2"/>
        <v>4.9618320610687022E-2</v>
      </c>
      <c r="C20" s="28">
        <f t="shared" si="2"/>
        <v>2.8331584470094439E-2</v>
      </c>
      <c r="D20" s="28">
        <f t="shared" si="2"/>
        <v>4.4303797468354431E-2</v>
      </c>
      <c r="E20" s="28">
        <f t="shared" si="2"/>
        <v>3.9848197343453511E-2</v>
      </c>
      <c r="F20" s="28">
        <f t="shared" si="2"/>
        <v>4.0509259259259259E-2</v>
      </c>
      <c r="G20" s="28">
        <f t="shared" si="2"/>
        <v>3.7991858887381276E-2</v>
      </c>
      <c r="H20" s="28">
        <f t="shared" si="2"/>
        <v>4.6589018302828619E-2</v>
      </c>
      <c r="I20" s="28">
        <f t="shared" si="2"/>
        <v>3.4671532846715328E-2</v>
      </c>
      <c r="J20" s="28">
        <f t="shared" si="2"/>
        <v>3.5805626598465472E-2</v>
      </c>
      <c r="K20" s="28">
        <f t="shared" si="2"/>
        <v>3.0211480362537766E-2</v>
      </c>
      <c r="L20" s="28">
        <f t="shared" si="1"/>
        <v>5.0909090909090911E-2</v>
      </c>
      <c r="M20" s="28">
        <f t="shared" si="1"/>
        <v>3.2110091743119268E-2</v>
      </c>
      <c r="N20" s="28">
        <f t="shared" si="1"/>
        <v>3.3519553072625698E-2</v>
      </c>
      <c r="O20" s="28">
        <f t="shared" si="1"/>
        <v>1.8987341772151899E-2</v>
      </c>
      <c r="P20" s="28">
        <f t="shared" si="1"/>
        <v>6.0606060606060608E-2</v>
      </c>
      <c r="S20" s="57">
        <v>0.52561669829222013</v>
      </c>
      <c r="T20" s="57">
        <v>0.11764705882352941</v>
      </c>
      <c r="U20" s="57">
        <v>5.218216318785579E-2</v>
      </c>
      <c r="V20" s="57">
        <v>3.9848197343453511E-2</v>
      </c>
      <c r="W20" s="57">
        <v>3.4155597722960153E-2</v>
      </c>
      <c r="X20" s="57">
        <v>3.1309297912713474E-2</v>
      </c>
      <c r="Y20" s="57">
        <v>2.9411764705882353E-2</v>
      </c>
      <c r="Z20" s="57">
        <v>2.4667931688804556E-2</v>
      </c>
      <c r="AA20" s="57">
        <v>3.510436432637571E-2</v>
      </c>
      <c r="AB20" s="57">
        <v>0.11005692599620494</v>
      </c>
      <c r="AC20" s="57">
        <f>111/100</f>
        <v>1.1100000000000001</v>
      </c>
    </row>
    <row r="21" spans="1:29" x14ac:dyDescent="0.15">
      <c r="A21" s="28" t="s">
        <v>55</v>
      </c>
      <c r="B21" s="28">
        <f t="shared" si="2"/>
        <v>3.3078880407124679E-2</v>
      </c>
      <c r="C21" s="28">
        <f t="shared" si="2"/>
        <v>3.1479538300104928E-2</v>
      </c>
      <c r="D21" s="28">
        <f t="shared" si="2"/>
        <v>2.911392405063291E-2</v>
      </c>
      <c r="E21" s="28">
        <f t="shared" si="2"/>
        <v>3.4155597722960153E-2</v>
      </c>
      <c r="F21" s="28">
        <f t="shared" si="2"/>
        <v>3.4722222222222224E-2</v>
      </c>
      <c r="G21" s="28">
        <f t="shared" si="2"/>
        <v>5.1560379918588875E-2</v>
      </c>
      <c r="H21" s="28">
        <f t="shared" si="2"/>
        <v>3.3277870216306155E-2</v>
      </c>
      <c r="I21" s="28">
        <f t="shared" si="2"/>
        <v>3.4671532846715328E-2</v>
      </c>
      <c r="J21" s="28">
        <f t="shared" si="2"/>
        <v>4.0920716112531973E-2</v>
      </c>
      <c r="K21" s="28">
        <f t="shared" si="2"/>
        <v>3.6253776435045321E-2</v>
      </c>
      <c r="L21" s="28">
        <f t="shared" si="1"/>
        <v>6.1818181818181821E-2</v>
      </c>
      <c r="M21" s="28">
        <f t="shared" si="1"/>
        <v>2.7522935779816515E-2</v>
      </c>
      <c r="N21" s="28">
        <f t="shared" si="1"/>
        <v>5.027932960893855E-2</v>
      </c>
      <c r="O21" s="28">
        <f t="shared" si="1"/>
        <v>3.1645569620253167E-2</v>
      </c>
      <c r="P21" s="28">
        <f t="shared" si="1"/>
        <v>3.0303030303030304E-2</v>
      </c>
      <c r="S21" s="57">
        <v>0.55787037037037035</v>
      </c>
      <c r="T21" s="57">
        <v>0.10532407407407407</v>
      </c>
      <c r="U21" s="57">
        <v>4.7453703703703706E-2</v>
      </c>
      <c r="V21" s="57">
        <v>4.0509259259259259E-2</v>
      </c>
      <c r="W21" s="57">
        <v>3.4722222222222224E-2</v>
      </c>
      <c r="X21" s="57">
        <v>3.3564814814814818E-2</v>
      </c>
      <c r="Y21" s="57">
        <v>2.3148148148148147E-2</v>
      </c>
      <c r="Z21" s="57">
        <v>3.2407407407407406E-2</v>
      </c>
      <c r="AA21" s="57">
        <v>4.0509259259259259E-2</v>
      </c>
      <c r="AB21" s="57">
        <v>8.4490740740740741E-2</v>
      </c>
      <c r="AC21" s="57">
        <f>31/50</f>
        <v>0.62</v>
      </c>
    </row>
    <row r="22" spans="1:29" x14ac:dyDescent="0.15">
      <c r="A22" s="28" t="s">
        <v>56</v>
      </c>
      <c r="B22" s="28">
        <f t="shared" si="2"/>
        <v>2.2900763358778626E-2</v>
      </c>
      <c r="C22" s="28">
        <f t="shared" si="2"/>
        <v>3.5676810073452254E-2</v>
      </c>
      <c r="D22" s="28">
        <f t="shared" si="2"/>
        <v>2.6582278481012658E-2</v>
      </c>
      <c r="E22" s="28">
        <f t="shared" si="2"/>
        <v>3.1309297912713474E-2</v>
      </c>
      <c r="F22" s="28">
        <f t="shared" si="2"/>
        <v>3.3564814814814818E-2</v>
      </c>
      <c r="G22" s="28">
        <f t="shared" si="2"/>
        <v>2.5780189959294438E-2</v>
      </c>
      <c r="H22" s="28">
        <f t="shared" si="2"/>
        <v>4.3261231281198007E-2</v>
      </c>
      <c r="I22" s="28">
        <f t="shared" si="2"/>
        <v>3.1021897810218978E-2</v>
      </c>
      <c r="J22" s="28">
        <f t="shared" si="2"/>
        <v>4.0920716112531973E-2</v>
      </c>
      <c r="K22" s="28">
        <f t="shared" si="2"/>
        <v>4.2296072507552872E-2</v>
      </c>
      <c r="L22" s="28">
        <f t="shared" si="1"/>
        <v>4.363636363636364E-2</v>
      </c>
      <c r="M22" s="28">
        <f t="shared" si="1"/>
        <v>3.669724770642202E-2</v>
      </c>
      <c r="N22" s="28">
        <f t="shared" si="1"/>
        <v>4.4692737430167599E-2</v>
      </c>
      <c r="O22" s="28">
        <f t="shared" si="1"/>
        <v>3.1645569620253167E-2</v>
      </c>
      <c r="P22" s="28">
        <f t="shared" si="1"/>
        <v>3.787878787878788E-2</v>
      </c>
      <c r="S22" s="57">
        <v>0.55630936227951155</v>
      </c>
      <c r="T22" s="57">
        <v>8.6838534599728623E-2</v>
      </c>
      <c r="U22" s="57">
        <v>6.6485753052917235E-2</v>
      </c>
      <c r="V22" s="57">
        <v>3.7991858887381276E-2</v>
      </c>
      <c r="W22" s="57">
        <v>5.1560379918588875E-2</v>
      </c>
      <c r="X22" s="57">
        <v>2.5780189959294438E-2</v>
      </c>
      <c r="Y22" s="57">
        <v>1.7639077340569877E-2</v>
      </c>
      <c r="Z22" s="57">
        <v>2.9850746268656716E-2</v>
      </c>
      <c r="AA22" s="57">
        <v>4.3419267299864311E-2</v>
      </c>
      <c r="AB22" s="57">
        <v>8.4124830393487116E-2</v>
      </c>
      <c r="AC22" s="57">
        <f>31/50</f>
        <v>0.62</v>
      </c>
    </row>
    <row r="23" spans="1:29" x14ac:dyDescent="0.15">
      <c r="A23" s="28" t="s">
        <v>57</v>
      </c>
      <c r="B23" s="28">
        <f t="shared" si="2"/>
        <v>2.9262086513994912E-2</v>
      </c>
      <c r="C23" s="28">
        <f t="shared" si="2"/>
        <v>2.7282266526757609E-2</v>
      </c>
      <c r="D23" s="28">
        <f t="shared" si="2"/>
        <v>2.0253164556962026E-2</v>
      </c>
      <c r="E23" s="28">
        <f t="shared" si="2"/>
        <v>2.9411764705882353E-2</v>
      </c>
      <c r="F23" s="28">
        <f t="shared" si="2"/>
        <v>2.3148148148148147E-2</v>
      </c>
      <c r="G23" s="28">
        <f t="shared" si="2"/>
        <v>1.7639077340569877E-2</v>
      </c>
      <c r="H23" s="28">
        <f t="shared" si="2"/>
        <v>9.9833610648918467E-3</v>
      </c>
      <c r="I23" s="28">
        <f t="shared" si="2"/>
        <v>2.7372262773722629E-2</v>
      </c>
      <c r="J23" s="28">
        <f t="shared" si="2"/>
        <v>2.3017902813299233E-2</v>
      </c>
      <c r="K23" s="28">
        <f t="shared" si="2"/>
        <v>2.7190332326283987E-2</v>
      </c>
      <c r="L23" s="28">
        <f t="shared" si="1"/>
        <v>2.181818181818182E-2</v>
      </c>
      <c r="M23" s="28">
        <f t="shared" si="1"/>
        <v>4.1284403669724773E-2</v>
      </c>
      <c r="N23" s="28">
        <f t="shared" si="1"/>
        <v>1.6759776536312849E-2</v>
      </c>
      <c r="O23" s="28">
        <f t="shared" si="1"/>
        <v>2.5316455696202531E-2</v>
      </c>
      <c r="P23" s="28">
        <f t="shared" si="1"/>
        <v>1.5151515151515152E-2</v>
      </c>
      <c r="S23" s="57">
        <v>0.55241264559068215</v>
      </c>
      <c r="T23" s="57">
        <v>0.10149750415973377</v>
      </c>
      <c r="U23" s="57">
        <v>6.3227953410981697E-2</v>
      </c>
      <c r="V23" s="57">
        <v>4.6589018302828619E-2</v>
      </c>
      <c r="W23" s="57">
        <v>3.3277870216306155E-2</v>
      </c>
      <c r="X23" s="57">
        <v>4.3261231281198007E-2</v>
      </c>
      <c r="Y23" s="57">
        <v>9.9833610648918467E-3</v>
      </c>
      <c r="Z23" s="57">
        <v>2.1630615640599003E-2</v>
      </c>
      <c r="AA23" s="57">
        <v>2.8286189683860232E-2</v>
      </c>
      <c r="AB23" s="57">
        <v>9.9833610648918464E-2</v>
      </c>
      <c r="AC23" s="57">
        <f>16/25</f>
        <v>0.64</v>
      </c>
    </row>
    <row r="24" spans="1:29" x14ac:dyDescent="0.15">
      <c r="A24" s="28" t="s">
        <v>58</v>
      </c>
      <c r="B24" s="28">
        <f t="shared" si="2"/>
        <v>2.9262086513994912E-2</v>
      </c>
      <c r="C24" s="28">
        <f t="shared" si="2"/>
        <v>3.0430220356768102E-2</v>
      </c>
      <c r="D24" s="28">
        <f t="shared" si="2"/>
        <v>2.5316455696202531E-2</v>
      </c>
      <c r="E24" s="28">
        <f t="shared" si="2"/>
        <v>2.4667931688804556E-2</v>
      </c>
      <c r="F24" s="28">
        <f t="shared" si="2"/>
        <v>3.2407407407407406E-2</v>
      </c>
      <c r="G24" s="28">
        <f t="shared" si="2"/>
        <v>2.9850746268656716E-2</v>
      </c>
      <c r="H24" s="28">
        <f t="shared" si="2"/>
        <v>2.1630615640599003E-2</v>
      </c>
      <c r="I24" s="28">
        <f t="shared" si="2"/>
        <v>2.7372262773722629E-2</v>
      </c>
      <c r="J24" s="28">
        <f t="shared" si="2"/>
        <v>1.5345268542199489E-2</v>
      </c>
      <c r="K24" s="28">
        <f t="shared" si="2"/>
        <v>1.2084592145015106E-2</v>
      </c>
      <c r="L24" s="28">
        <f t="shared" si="1"/>
        <v>3.272727272727273E-2</v>
      </c>
      <c r="M24" s="28">
        <f t="shared" si="1"/>
        <v>3.2110091743119268E-2</v>
      </c>
      <c r="N24" s="28">
        <f t="shared" si="1"/>
        <v>2.7932960893854747E-2</v>
      </c>
      <c r="O24" s="28">
        <f t="shared" si="1"/>
        <v>3.1645569620253167E-2</v>
      </c>
      <c r="P24" s="28">
        <f t="shared" si="1"/>
        <v>2.2727272727272728E-2</v>
      </c>
      <c r="S24" s="57">
        <v>0.56204379562043794</v>
      </c>
      <c r="T24" s="57">
        <v>0.10583941605839416</v>
      </c>
      <c r="U24" s="57">
        <v>6.569343065693431E-2</v>
      </c>
      <c r="V24" s="57">
        <v>3.4671532846715328E-2</v>
      </c>
      <c r="W24" s="57">
        <v>3.4671532846715328E-2</v>
      </c>
      <c r="X24" s="57">
        <v>3.1021897810218978E-2</v>
      </c>
      <c r="Y24" s="57">
        <v>2.7372262773722629E-2</v>
      </c>
      <c r="Z24" s="57">
        <v>2.7372262773722629E-2</v>
      </c>
      <c r="AA24" s="57">
        <v>3.2846715328467155E-2</v>
      </c>
      <c r="AB24" s="57">
        <v>7.8467153284671534E-2</v>
      </c>
      <c r="AC24" s="57">
        <f>47/100</f>
        <v>0.47</v>
      </c>
    </row>
    <row r="25" spans="1:29" x14ac:dyDescent="0.15">
      <c r="A25" s="28" t="s">
        <v>59</v>
      </c>
      <c r="B25" s="28">
        <f t="shared" si="2"/>
        <v>4.7073791348600506E-2</v>
      </c>
      <c r="C25" s="28">
        <f t="shared" si="2"/>
        <v>4.0923399790136414E-2</v>
      </c>
      <c r="D25" s="28">
        <f t="shared" si="2"/>
        <v>2.911392405063291E-2</v>
      </c>
      <c r="E25" s="28">
        <f t="shared" si="2"/>
        <v>3.510436432637571E-2</v>
      </c>
      <c r="F25" s="28">
        <f t="shared" si="2"/>
        <v>4.0509259259259259E-2</v>
      </c>
      <c r="G25" s="28">
        <f t="shared" si="2"/>
        <v>4.3419267299864311E-2</v>
      </c>
      <c r="H25" s="28">
        <f t="shared" si="2"/>
        <v>2.8286189683860232E-2</v>
      </c>
      <c r="I25" s="28">
        <f t="shared" si="2"/>
        <v>3.2846715328467155E-2</v>
      </c>
      <c r="J25" s="28">
        <f t="shared" si="2"/>
        <v>4.0920716112531973E-2</v>
      </c>
      <c r="K25" s="28">
        <f t="shared" si="2"/>
        <v>3.0211480362537766E-2</v>
      </c>
      <c r="L25" s="28">
        <f t="shared" si="1"/>
        <v>1.8181818181818181E-2</v>
      </c>
      <c r="M25" s="28">
        <f t="shared" si="1"/>
        <v>7.3394495412844041E-2</v>
      </c>
      <c r="N25" s="28">
        <f t="shared" si="1"/>
        <v>5.5865921787709494E-2</v>
      </c>
      <c r="O25" s="28">
        <f t="shared" si="1"/>
        <v>6.3291139240506328E-3</v>
      </c>
      <c r="P25" s="28">
        <f t="shared" si="1"/>
        <v>2.2727272727272728E-2</v>
      </c>
      <c r="S25" s="57">
        <v>0.53964194373401531</v>
      </c>
      <c r="T25" s="57">
        <v>9.2071611253196933E-2</v>
      </c>
      <c r="U25" s="57">
        <v>7.4168797953964194E-2</v>
      </c>
      <c r="V25" s="57">
        <v>3.5805626598465472E-2</v>
      </c>
      <c r="W25" s="57">
        <v>4.0920716112531973E-2</v>
      </c>
      <c r="X25" s="57">
        <v>4.0920716112531973E-2</v>
      </c>
      <c r="Y25" s="57">
        <v>2.3017902813299233E-2</v>
      </c>
      <c r="Z25" s="57">
        <v>1.5345268542199489E-2</v>
      </c>
      <c r="AA25" s="57">
        <v>4.0920716112531973E-2</v>
      </c>
      <c r="AB25" s="57">
        <v>9.718670076726342E-2</v>
      </c>
      <c r="AC25" s="57">
        <f>87/100</f>
        <v>0.87</v>
      </c>
    </row>
    <row r="26" spans="1:29" x14ac:dyDescent="0.15">
      <c r="A26" s="28" t="s">
        <v>60</v>
      </c>
      <c r="B26" s="28">
        <f t="shared" si="2"/>
        <v>0.11959287531806616</v>
      </c>
      <c r="C26" s="28">
        <f t="shared" si="2"/>
        <v>0.13116474291710389</v>
      </c>
      <c r="D26" s="28">
        <f t="shared" si="2"/>
        <v>9.7468354430379753E-2</v>
      </c>
      <c r="E26" s="28">
        <f t="shared" si="2"/>
        <v>0.11005692599620494</v>
      </c>
      <c r="F26" s="28">
        <f t="shared" si="2"/>
        <v>8.4490740740740741E-2</v>
      </c>
      <c r="G26" s="28">
        <f t="shared" si="2"/>
        <v>8.4124830393487116E-2</v>
      </c>
      <c r="H26" s="28">
        <f t="shared" si="2"/>
        <v>9.9833610648918464E-2</v>
      </c>
      <c r="I26" s="28">
        <f t="shared" si="2"/>
        <v>7.8467153284671534E-2</v>
      </c>
      <c r="J26" s="28">
        <f t="shared" si="2"/>
        <v>9.718670076726342E-2</v>
      </c>
      <c r="K26" s="28">
        <f t="shared" si="2"/>
        <v>9.6676737160120846E-2</v>
      </c>
      <c r="L26" s="28">
        <f t="shared" si="1"/>
        <v>9.4545454545454544E-2</v>
      </c>
      <c r="M26" s="28">
        <f t="shared" si="1"/>
        <v>0.11467889908256881</v>
      </c>
      <c r="N26" s="28">
        <f t="shared" si="1"/>
        <v>6.7039106145251395E-2</v>
      </c>
      <c r="O26" s="28">
        <f t="shared" si="1"/>
        <v>0.10759493670886076</v>
      </c>
      <c r="P26" s="28">
        <f t="shared" si="1"/>
        <v>9.0909090909090912E-2</v>
      </c>
      <c r="S26" s="57">
        <v>0.58912386706948638</v>
      </c>
      <c r="T26" s="57">
        <v>8.1570996978851965E-2</v>
      </c>
      <c r="U26" s="57">
        <v>5.4380664652567974E-2</v>
      </c>
      <c r="V26" s="57">
        <v>3.0211480362537766E-2</v>
      </c>
      <c r="W26" s="57">
        <v>3.6253776435045321E-2</v>
      </c>
      <c r="X26" s="57">
        <v>4.2296072507552872E-2</v>
      </c>
      <c r="Y26" s="57">
        <v>2.7190332326283987E-2</v>
      </c>
      <c r="Z26" s="57">
        <v>1.2084592145015106E-2</v>
      </c>
      <c r="AA26" s="57">
        <v>3.0211480362537766E-2</v>
      </c>
      <c r="AB26" s="57">
        <v>9.6676737160120846E-2</v>
      </c>
      <c r="AC26" s="57">
        <f>9/50</f>
        <v>0.18</v>
      </c>
    </row>
    <row r="27" spans="1:29" x14ac:dyDescent="0.15">
      <c r="A27" s="28" t="s">
        <v>78</v>
      </c>
      <c r="B27" s="57">
        <f>$AC17</f>
        <v>1.48</v>
      </c>
      <c r="C27" s="57">
        <f>$AC18</f>
        <v>1.18</v>
      </c>
      <c r="D27" s="57">
        <f>$AC19</f>
        <v>0.48</v>
      </c>
      <c r="E27" s="57">
        <f>$AC20</f>
        <v>1.1100000000000001</v>
      </c>
      <c r="F27" s="57">
        <f>$AC21</f>
        <v>0.62</v>
      </c>
      <c r="G27" s="57">
        <f>$AC22</f>
        <v>0.62</v>
      </c>
      <c r="H27" s="57">
        <f>$AC23</f>
        <v>0.64</v>
      </c>
      <c r="I27" s="57">
        <f>$AC24</f>
        <v>0.47</v>
      </c>
      <c r="J27" s="57">
        <f>$AC25</f>
        <v>0.87</v>
      </c>
      <c r="K27" s="57">
        <f>$AC26</f>
        <v>0.18</v>
      </c>
      <c r="L27" s="57">
        <f>$AC27</f>
        <v>1.05</v>
      </c>
      <c r="M27" s="57">
        <f>$AC28</f>
        <v>1.39</v>
      </c>
      <c r="N27" s="57">
        <f>$AC29</f>
        <v>-0.11</v>
      </c>
      <c r="O27" s="57">
        <f>$AC30</f>
        <v>-0.08</v>
      </c>
      <c r="P27" s="57">
        <f>$AC31</f>
        <v>-0.02</v>
      </c>
      <c r="S27" s="57">
        <v>0.52727272727272723</v>
      </c>
      <c r="T27" s="57">
        <v>9.8181818181818176E-2</v>
      </c>
      <c r="U27" s="57">
        <v>5.0909090909090911E-2</v>
      </c>
      <c r="V27" s="57">
        <v>5.0909090909090911E-2</v>
      </c>
      <c r="W27" s="57">
        <v>6.1818181818181821E-2</v>
      </c>
      <c r="X27" s="57">
        <v>4.363636363636364E-2</v>
      </c>
      <c r="Y27" s="57">
        <v>2.181818181818182E-2</v>
      </c>
      <c r="Z27" s="57">
        <v>3.272727272727273E-2</v>
      </c>
      <c r="AA27" s="57">
        <v>1.8181818181818181E-2</v>
      </c>
      <c r="AB27" s="57">
        <v>9.4545454545454544E-2</v>
      </c>
      <c r="AC27" s="57">
        <f>21/20</f>
        <v>1.05</v>
      </c>
    </row>
    <row r="28" spans="1:29" x14ac:dyDescent="0.15">
      <c r="S28" s="57">
        <v>0.5321100917431193</v>
      </c>
      <c r="T28" s="57">
        <v>8.2568807339449546E-2</v>
      </c>
      <c r="U28" s="57">
        <v>2.7522935779816515E-2</v>
      </c>
      <c r="V28" s="57">
        <v>3.2110091743119268E-2</v>
      </c>
      <c r="W28" s="57">
        <v>2.7522935779816515E-2</v>
      </c>
      <c r="X28" s="57">
        <v>3.669724770642202E-2</v>
      </c>
      <c r="Y28" s="57">
        <v>4.1284403669724773E-2</v>
      </c>
      <c r="Z28" s="57">
        <v>3.2110091743119268E-2</v>
      </c>
      <c r="AA28" s="57">
        <v>7.3394495412844041E-2</v>
      </c>
      <c r="AB28" s="57">
        <v>0.11467889908256881</v>
      </c>
      <c r="AC28" s="57">
        <f>139/100</f>
        <v>1.39</v>
      </c>
    </row>
    <row r="29" spans="1:29" x14ac:dyDescent="0.15">
      <c r="S29" s="57">
        <v>0.61452513966480449</v>
      </c>
      <c r="T29" s="57">
        <v>6.7039106145251395E-2</v>
      </c>
      <c r="U29" s="57">
        <v>2.23463687150838E-2</v>
      </c>
      <c r="V29" s="57">
        <v>3.3519553072625698E-2</v>
      </c>
      <c r="W29" s="57">
        <v>5.027932960893855E-2</v>
      </c>
      <c r="X29" s="57">
        <v>4.4692737430167599E-2</v>
      </c>
      <c r="Y29" s="57">
        <v>1.6759776536312849E-2</v>
      </c>
      <c r="Z29" s="57">
        <v>2.7932960893854747E-2</v>
      </c>
      <c r="AA29" s="57">
        <v>5.5865921787709494E-2</v>
      </c>
      <c r="AB29" s="57">
        <v>6.7039106145251395E-2</v>
      </c>
      <c r="AC29" s="57">
        <f>-11/100</f>
        <v>-0.11</v>
      </c>
    </row>
    <row r="30" spans="1:29" x14ac:dyDescent="0.15">
      <c r="S30" s="57">
        <v>0.60759493670886078</v>
      </c>
      <c r="T30" s="57">
        <v>8.8607594936708861E-2</v>
      </c>
      <c r="U30" s="57">
        <v>5.0632911392405063E-2</v>
      </c>
      <c r="V30" s="57">
        <v>1.8987341772151899E-2</v>
      </c>
      <c r="W30" s="57">
        <v>3.1645569620253167E-2</v>
      </c>
      <c r="X30" s="57">
        <v>3.1645569620253167E-2</v>
      </c>
      <c r="Y30" s="57">
        <v>2.5316455696202531E-2</v>
      </c>
      <c r="Z30" s="57">
        <v>3.1645569620253167E-2</v>
      </c>
      <c r="AA30" s="57">
        <v>6.3291139240506328E-3</v>
      </c>
      <c r="AB30" s="57">
        <v>0.10759493670886076</v>
      </c>
      <c r="AC30" s="57">
        <f>-2/25</f>
        <v>-0.08</v>
      </c>
    </row>
    <row r="31" spans="1:29" x14ac:dyDescent="0.15">
      <c r="S31" s="57">
        <v>0.60606060606060608</v>
      </c>
      <c r="T31" s="57">
        <v>6.0606060606060608E-2</v>
      </c>
      <c r="U31" s="57">
        <v>5.3030303030303032E-2</v>
      </c>
      <c r="V31" s="57">
        <v>6.0606060606060608E-2</v>
      </c>
      <c r="W31" s="57">
        <v>3.0303030303030304E-2</v>
      </c>
      <c r="X31" s="57">
        <v>3.787878787878788E-2</v>
      </c>
      <c r="Y31" s="57">
        <v>1.5151515151515152E-2</v>
      </c>
      <c r="Z31" s="57">
        <v>2.2727272727272728E-2</v>
      </c>
      <c r="AA31" s="57">
        <v>2.2727272727272728E-2</v>
      </c>
      <c r="AB31" s="57">
        <v>9.0909090909090912E-2</v>
      </c>
      <c r="AC31" s="57">
        <f>-1/50</f>
        <v>-0.02</v>
      </c>
    </row>
    <row r="66" spans="1:16" x14ac:dyDescent="0.15">
      <c r="A66" s="27"/>
      <c r="B66" s="23" t="s">
        <v>346</v>
      </c>
      <c r="C66" s="23" t="s">
        <v>79</v>
      </c>
      <c r="D66" s="23" t="s">
        <v>80</v>
      </c>
      <c r="E66" s="23" t="s">
        <v>81</v>
      </c>
      <c r="F66" s="23" t="s">
        <v>82</v>
      </c>
      <c r="G66" s="23" t="s">
        <v>83</v>
      </c>
      <c r="H66" s="23" t="s">
        <v>84</v>
      </c>
      <c r="I66" s="23" t="s">
        <v>85</v>
      </c>
      <c r="J66" s="23" t="s">
        <v>86</v>
      </c>
      <c r="K66" s="23" t="s">
        <v>87</v>
      </c>
      <c r="L66" s="23" t="s">
        <v>88</v>
      </c>
      <c r="M66" s="23" t="s">
        <v>89</v>
      </c>
      <c r="N66" s="23" t="s">
        <v>90</v>
      </c>
      <c r="O66" s="23" t="s">
        <v>91</v>
      </c>
      <c r="P66" s="23" t="s">
        <v>92</v>
      </c>
    </row>
    <row r="67" spans="1:16" x14ac:dyDescent="0.15">
      <c r="A67" s="28" t="s">
        <v>23</v>
      </c>
      <c r="B67" s="28" t="s">
        <v>32</v>
      </c>
      <c r="C67" s="28" t="s">
        <v>32</v>
      </c>
      <c r="D67" s="28" t="s">
        <v>32</v>
      </c>
      <c r="E67" s="28" t="s">
        <v>32</v>
      </c>
      <c r="F67" s="28" t="s">
        <v>32</v>
      </c>
      <c r="G67" s="28" t="s">
        <v>32</v>
      </c>
      <c r="H67" s="28" t="s">
        <v>32</v>
      </c>
      <c r="I67" s="28" t="s">
        <v>32</v>
      </c>
      <c r="J67" s="28" t="s">
        <v>32</v>
      </c>
      <c r="K67" s="28" t="s">
        <v>32</v>
      </c>
      <c r="L67" s="28" t="s">
        <v>32</v>
      </c>
      <c r="M67" s="28" t="s">
        <v>32</v>
      </c>
      <c r="N67" s="28" t="s">
        <v>32</v>
      </c>
      <c r="O67" s="28" t="s">
        <v>32</v>
      </c>
      <c r="P67" s="28" t="s">
        <v>32</v>
      </c>
    </row>
    <row r="68" spans="1:16" x14ac:dyDescent="0.15">
      <c r="A68" s="28" t="s">
        <v>52</v>
      </c>
      <c r="B68" s="28">
        <f>[110]PARS_cds_1_stat_loop_GC_AT_freq!B2</f>
        <v>459</v>
      </c>
      <c r="C68" s="28">
        <f>[111]PARS_cds_2_stat_loop_GC_AT_freq!B2</f>
        <v>473</v>
      </c>
      <c r="D68" s="28">
        <f>[112]PARS_cds_3_stat_loop_GC_AT_freq!B2</f>
        <v>348</v>
      </c>
      <c r="E68" s="28">
        <f>[113]PARS_cds_4_stat_loop_GC_AT_freq!B2</f>
        <v>494</v>
      </c>
      <c r="F68" s="28">
        <f>[114]PARS_cds_5_stat_loop_GC_AT_freq!B2</f>
        <v>373</v>
      </c>
      <c r="G68" s="28">
        <f>[115]PARS_cds_6_stat_loop_GC_AT_freq!B2</f>
        <v>339</v>
      </c>
      <c r="H68" s="28">
        <f>[116]PARS_cds_7_stat_loop_GC_AT_freq!B2</f>
        <v>238</v>
      </c>
      <c r="I68" s="28">
        <f>[117]PARS_cds_8_stat_loop_GC_AT_freq!B2</f>
        <v>239</v>
      </c>
      <c r="J68" s="28">
        <f>[118]PARS_cds_9_stat_loop_GC_AT_freq!B2</f>
        <v>155</v>
      </c>
      <c r="K68" s="28">
        <f>[119]PARS_cds_10_stat_loop_GC_AT_fre!B2</f>
        <v>118</v>
      </c>
      <c r="L68" s="28">
        <f>[120]PARS_cds_11_stat_loop_GC_AT_fre!B2</f>
        <v>118</v>
      </c>
      <c r="M68" s="28">
        <f>[121]PARS_cds_12_stat_loop_GC_AT_fre!B2</f>
        <v>86</v>
      </c>
      <c r="N68" s="28">
        <f>[122]PARS_cds_13_stat_loop_GC_AT_fre!B2</f>
        <v>79</v>
      </c>
      <c r="O68" s="28">
        <f>[123]PARS_cds_14_stat_loop_GC_AT_fre!B2</f>
        <v>73</v>
      </c>
      <c r="P68" s="28">
        <f>[124]PARS_cds_15_stat_loop_GC_AT_fre!B2</f>
        <v>60</v>
      </c>
    </row>
    <row r="69" spans="1:16" x14ac:dyDescent="0.15">
      <c r="A69" s="28" t="s">
        <v>38</v>
      </c>
      <c r="B69" s="28">
        <f>[110]PARS_cds_1_stat_loop_GC_AT_freq!B3</f>
        <v>61</v>
      </c>
      <c r="C69" s="28">
        <f>[111]PARS_cds_2_stat_loop_GC_AT_freq!B3</f>
        <v>71</v>
      </c>
      <c r="D69" s="28">
        <f>[112]PARS_cds_3_stat_loop_GC_AT_freq!B3</f>
        <v>57</v>
      </c>
      <c r="E69" s="28">
        <f>[113]PARS_cds_4_stat_loop_GC_AT_freq!B3</f>
        <v>67</v>
      </c>
      <c r="F69" s="28">
        <f>[114]PARS_cds_5_stat_loop_GC_AT_freq!B3</f>
        <v>52</v>
      </c>
      <c r="G69" s="28">
        <f>[115]PARS_cds_6_stat_loop_GC_AT_freq!B3</f>
        <v>64</v>
      </c>
      <c r="H69" s="28">
        <f>[116]PARS_cds_7_stat_loop_GC_AT_freq!B3</f>
        <v>30</v>
      </c>
      <c r="I69" s="28">
        <f>[117]PARS_cds_8_stat_loop_GC_AT_freq!B3</f>
        <v>39</v>
      </c>
      <c r="J69" s="28">
        <f>[118]PARS_cds_9_stat_loop_GC_AT_freq!B3</f>
        <v>32</v>
      </c>
      <c r="K69" s="28">
        <f>[119]PARS_cds_10_stat_loop_GC_AT_fre!B3</f>
        <v>18</v>
      </c>
      <c r="L69" s="28">
        <f>[120]PARS_cds_11_stat_loop_GC_AT_fre!B3</f>
        <v>21</v>
      </c>
      <c r="M69" s="28">
        <f>[121]PARS_cds_12_stat_loop_GC_AT_fre!B3</f>
        <v>15</v>
      </c>
      <c r="N69" s="28">
        <f>[122]PARS_cds_13_stat_loop_GC_AT_fre!B3</f>
        <v>15</v>
      </c>
      <c r="O69" s="28">
        <f>[123]PARS_cds_14_stat_loop_GC_AT_fre!B3</f>
        <v>4</v>
      </c>
      <c r="P69" s="28">
        <f>[124]PARS_cds_15_stat_loop_GC_AT_fre!B3</f>
        <v>11</v>
      </c>
    </row>
    <row r="70" spans="1:16" x14ac:dyDescent="0.15">
      <c r="A70" s="28" t="s">
        <v>53</v>
      </c>
      <c r="B70" s="28">
        <f>[110]PARS_cds_1_stat_loop_GC_AT_freq!B4</f>
        <v>32</v>
      </c>
      <c r="C70" s="28">
        <f>[111]PARS_cds_2_stat_loop_GC_AT_freq!B4</f>
        <v>58</v>
      </c>
      <c r="D70" s="28">
        <f>[112]PARS_cds_3_stat_loop_GC_AT_freq!B4</f>
        <v>34</v>
      </c>
      <c r="E70" s="28">
        <f>[113]PARS_cds_4_stat_loop_GC_AT_freq!B4</f>
        <v>44</v>
      </c>
      <c r="F70" s="28">
        <f>[114]PARS_cds_5_stat_loop_GC_AT_freq!B4</f>
        <v>32</v>
      </c>
      <c r="G70" s="28">
        <f>[115]PARS_cds_6_stat_loop_GC_AT_freq!B4</f>
        <v>31</v>
      </c>
      <c r="H70" s="28">
        <f>[116]PARS_cds_7_stat_loop_GC_AT_freq!B4</f>
        <v>16</v>
      </c>
      <c r="I70" s="28">
        <f>[117]PARS_cds_8_stat_loop_GC_AT_freq!B4</f>
        <v>15</v>
      </c>
      <c r="J70" s="28">
        <f>[118]PARS_cds_9_stat_loop_GC_AT_freq!B4</f>
        <v>13</v>
      </c>
      <c r="K70" s="28">
        <f>[119]PARS_cds_10_stat_loop_GC_AT_fre!B4</f>
        <v>12</v>
      </c>
      <c r="L70" s="28">
        <f>[120]PARS_cds_11_stat_loop_GC_AT_fre!B4</f>
        <v>6</v>
      </c>
      <c r="M70" s="28">
        <f>[121]PARS_cds_12_stat_loop_GC_AT_fre!B4</f>
        <v>8</v>
      </c>
      <c r="N70" s="28">
        <f>[122]PARS_cds_13_stat_loop_GC_AT_fre!B4</f>
        <v>10</v>
      </c>
      <c r="O70" s="28">
        <f>[123]PARS_cds_14_stat_loop_GC_AT_fre!B4</f>
        <v>6</v>
      </c>
      <c r="P70" s="28">
        <f>[124]PARS_cds_15_stat_loop_GC_AT_fre!B4</f>
        <v>8</v>
      </c>
    </row>
    <row r="71" spans="1:16" x14ac:dyDescent="0.15">
      <c r="A71" s="28" t="s">
        <v>54</v>
      </c>
      <c r="B71" s="28">
        <f>[110]PARS_cds_1_stat_loop_GC_AT_freq!B5</f>
        <v>35</v>
      </c>
      <c r="C71" s="28">
        <f>[111]PARS_cds_2_stat_loop_GC_AT_freq!B5</f>
        <v>31</v>
      </c>
      <c r="D71" s="28">
        <f>[112]PARS_cds_3_stat_loop_GC_AT_freq!B5</f>
        <v>30</v>
      </c>
      <c r="E71" s="28">
        <f>[113]PARS_cds_4_stat_loop_GC_AT_freq!B5</f>
        <v>26</v>
      </c>
      <c r="F71" s="28">
        <f>[114]PARS_cds_5_stat_loop_GC_AT_freq!B5</f>
        <v>23</v>
      </c>
      <c r="G71" s="28">
        <f>[115]PARS_cds_6_stat_loop_GC_AT_freq!B5</f>
        <v>23</v>
      </c>
      <c r="H71" s="28">
        <f>[116]PARS_cds_7_stat_loop_GC_AT_freq!B5</f>
        <v>15</v>
      </c>
      <c r="I71" s="28">
        <f>[117]PARS_cds_8_stat_loop_GC_AT_freq!B5</f>
        <v>16</v>
      </c>
      <c r="J71" s="28">
        <f>[118]PARS_cds_9_stat_loop_GC_AT_freq!B5</f>
        <v>14</v>
      </c>
      <c r="K71" s="28">
        <f>[119]PARS_cds_10_stat_loop_GC_AT_fre!B5</f>
        <v>9</v>
      </c>
      <c r="L71" s="28">
        <f>[120]PARS_cds_11_stat_loop_GC_AT_fre!B5</f>
        <v>5</v>
      </c>
      <c r="M71" s="28">
        <f>[121]PARS_cds_12_stat_loop_GC_AT_fre!B5</f>
        <v>9</v>
      </c>
      <c r="N71" s="28">
        <f>[122]PARS_cds_13_stat_loop_GC_AT_fre!B5</f>
        <v>8</v>
      </c>
      <c r="O71" s="28">
        <f>[123]PARS_cds_14_stat_loop_GC_AT_fre!B5</f>
        <v>4</v>
      </c>
      <c r="P71" s="28">
        <f>[124]PARS_cds_15_stat_loop_GC_AT_fre!B5</f>
        <v>10</v>
      </c>
    </row>
    <row r="72" spans="1:16" x14ac:dyDescent="0.15">
      <c r="A72" s="28" t="s">
        <v>55</v>
      </c>
      <c r="B72" s="28">
        <f>[110]PARS_cds_1_stat_loop_GC_AT_freq!B6</f>
        <v>16</v>
      </c>
      <c r="C72" s="28">
        <f>[111]PARS_cds_2_stat_loop_GC_AT_freq!B6</f>
        <v>25</v>
      </c>
      <c r="D72" s="28">
        <f>[112]PARS_cds_3_stat_loop_GC_AT_freq!B6</f>
        <v>19</v>
      </c>
      <c r="E72" s="28">
        <f>[113]PARS_cds_4_stat_loop_GC_AT_freq!B6</f>
        <v>36</v>
      </c>
      <c r="F72" s="28">
        <f>[114]PARS_cds_5_stat_loop_GC_AT_freq!B6</f>
        <v>30</v>
      </c>
      <c r="G72" s="28">
        <f>[115]PARS_cds_6_stat_loop_GC_AT_freq!B6</f>
        <v>30</v>
      </c>
      <c r="H72" s="28">
        <f>[116]PARS_cds_7_stat_loop_GC_AT_freq!B6</f>
        <v>23</v>
      </c>
      <c r="I72" s="28">
        <f>[117]PARS_cds_8_stat_loop_GC_AT_freq!B6</f>
        <v>11</v>
      </c>
      <c r="J72" s="28">
        <f>[118]PARS_cds_9_stat_loop_GC_AT_freq!B6</f>
        <v>11</v>
      </c>
      <c r="K72" s="28">
        <f>[119]PARS_cds_10_stat_loop_GC_AT_fre!B6</f>
        <v>3</v>
      </c>
      <c r="L72" s="28">
        <f>[120]PARS_cds_11_stat_loop_GC_AT_fre!B6</f>
        <v>9</v>
      </c>
      <c r="M72" s="28">
        <f>[121]PARS_cds_12_stat_loop_GC_AT_fre!B6</f>
        <v>7</v>
      </c>
      <c r="N72" s="28">
        <f>[122]PARS_cds_13_stat_loop_GC_AT_fre!B6</f>
        <v>10</v>
      </c>
      <c r="O72" s="28">
        <f>[123]PARS_cds_14_stat_loop_GC_AT_fre!B6</f>
        <v>6</v>
      </c>
      <c r="P72" s="28">
        <f>[124]PARS_cds_15_stat_loop_GC_AT_fre!B6</f>
        <v>3</v>
      </c>
    </row>
    <row r="73" spans="1:16" x14ac:dyDescent="0.15">
      <c r="A73" s="28" t="s">
        <v>56</v>
      </c>
      <c r="B73" s="28">
        <f>[110]PARS_cds_1_stat_loop_GC_AT_freq!B7</f>
        <v>20</v>
      </c>
      <c r="C73" s="28">
        <f>[111]PARS_cds_2_stat_loop_GC_AT_freq!B7</f>
        <v>30</v>
      </c>
      <c r="D73" s="28">
        <f>[112]PARS_cds_3_stat_loop_GC_AT_freq!B7</f>
        <v>16</v>
      </c>
      <c r="E73" s="28">
        <f>[113]PARS_cds_4_stat_loop_GC_AT_freq!B7</f>
        <v>39</v>
      </c>
      <c r="F73" s="28">
        <f>[114]PARS_cds_5_stat_loop_GC_AT_freq!B7</f>
        <v>32</v>
      </c>
      <c r="G73" s="28">
        <f>[115]PARS_cds_6_stat_loop_GC_AT_freq!B7</f>
        <v>21</v>
      </c>
      <c r="H73" s="28">
        <f>[116]PARS_cds_7_stat_loop_GC_AT_freq!B7</f>
        <v>22</v>
      </c>
      <c r="I73" s="28">
        <f>[117]PARS_cds_8_stat_loop_GC_AT_freq!B7</f>
        <v>13</v>
      </c>
      <c r="J73" s="28">
        <f>[118]PARS_cds_9_stat_loop_GC_AT_freq!B7</f>
        <v>13</v>
      </c>
      <c r="K73" s="28">
        <f>[119]PARS_cds_10_stat_loop_GC_AT_fre!B7</f>
        <v>13</v>
      </c>
      <c r="L73" s="28">
        <f>[120]PARS_cds_11_stat_loop_GC_AT_fre!B7</f>
        <v>4</v>
      </c>
      <c r="M73" s="28">
        <f>[121]PARS_cds_12_stat_loop_GC_AT_fre!B7</f>
        <v>8</v>
      </c>
      <c r="N73" s="28">
        <f>[122]PARS_cds_13_stat_loop_GC_AT_fre!B7</f>
        <v>2</v>
      </c>
      <c r="O73" s="28">
        <f>[123]PARS_cds_14_stat_loop_GC_AT_fre!B7</f>
        <v>3</v>
      </c>
      <c r="P73" s="28">
        <f>[124]PARS_cds_15_stat_loop_GC_AT_fre!B7</f>
        <v>5</v>
      </c>
    </row>
    <row r="74" spans="1:16" x14ac:dyDescent="0.15">
      <c r="A74" s="28" t="s">
        <v>57</v>
      </c>
      <c r="B74" s="28">
        <f>[110]PARS_cds_1_stat_loop_GC_AT_freq!B8</f>
        <v>19</v>
      </c>
      <c r="C74" s="28">
        <f>[111]PARS_cds_2_stat_loop_GC_AT_freq!B8</f>
        <v>18</v>
      </c>
      <c r="D74" s="28">
        <f>[112]PARS_cds_3_stat_loop_GC_AT_freq!B8</f>
        <v>24</v>
      </c>
      <c r="E74" s="28">
        <f>[113]PARS_cds_4_stat_loop_GC_AT_freq!B8</f>
        <v>31</v>
      </c>
      <c r="F74" s="28">
        <f>[114]PARS_cds_5_stat_loop_GC_AT_freq!B8</f>
        <v>20</v>
      </c>
      <c r="G74" s="28">
        <f>[115]PARS_cds_6_stat_loop_GC_AT_freq!B8</f>
        <v>10</v>
      </c>
      <c r="H74" s="28">
        <f>[116]PARS_cds_7_stat_loop_GC_AT_freq!B8</f>
        <v>17</v>
      </c>
      <c r="I74" s="28">
        <f>[117]PARS_cds_8_stat_loop_GC_AT_freq!B8</f>
        <v>14</v>
      </c>
      <c r="J74" s="28">
        <f>[118]PARS_cds_9_stat_loop_GC_AT_freq!B8</f>
        <v>11</v>
      </c>
      <c r="K74" s="28">
        <f>[119]PARS_cds_10_stat_loop_GC_AT_fre!B8</f>
        <v>7</v>
      </c>
      <c r="L74" s="28">
        <f>[120]PARS_cds_11_stat_loop_GC_AT_fre!B8</f>
        <v>5</v>
      </c>
      <c r="M74" s="28">
        <f>[121]PARS_cds_12_stat_loop_GC_AT_fre!B8</f>
        <v>5</v>
      </c>
      <c r="N74" s="28">
        <f>[122]PARS_cds_13_stat_loop_GC_AT_fre!B8</f>
        <v>6</v>
      </c>
      <c r="O74" s="28">
        <f>[123]PARS_cds_14_stat_loop_GC_AT_fre!B8</f>
        <v>5</v>
      </c>
      <c r="P74" s="28">
        <f>[124]PARS_cds_15_stat_loop_GC_AT_fre!B8</f>
        <v>2</v>
      </c>
    </row>
    <row r="75" spans="1:16" x14ac:dyDescent="0.15">
      <c r="A75" s="28" t="s">
        <v>58</v>
      </c>
      <c r="B75" s="28">
        <f>[110]PARS_cds_1_stat_loop_GC_AT_freq!B9</f>
        <v>17</v>
      </c>
      <c r="C75" s="28">
        <f>[111]PARS_cds_2_stat_loop_GC_AT_freq!B9</f>
        <v>22</v>
      </c>
      <c r="D75" s="28">
        <f>[112]PARS_cds_3_stat_loop_GC_AT_freq!B9</f>
        <v>29</v>
      </c>
      <c r="E75" s="28">
        <f>[113]PARS_cds_4_stat_loop_GC_AT_freq!B9</f>
        <v>27</v>
      </c>
      <c r="F75" s="28">
        <f>[114]PARS_cds_5_stat_loop_GC_AT_freq!B9</f>
        <v>24</v>
      </c>
      <c r="G75" s="28">
        <f>[115]PARS_cds_6_stat_loop_GC_AT_freq!B9</f>
        <v>27</v>
      </c>
      <c r="H75" s="28">
        <f>[116]PARS_cds_7_stat_loop_GC_AT_freq!B9</f>
        <v>19</v>
      </c>
      <c r="I75" s="28">
        <f>[117]PARS_cds_8_stat_loop_GC_AT_freq!B9</f>
        <v>16</v>
      </c>
      <c r="J75" s="28">
        <f>[118]PARS_cds_9_stat_loop_GC_AT_freq!B9</f>
        <v>14</v>
      </c>
      <c r="K75" s="28">
        <f>[119]PARS_cds_10_stat_loop_GC_AT_fre!B9</f>
        <v>7</v>
      </c>
      <c r="L75" s="28">
        <f>[120]PARS_cds_11_stat_loop_GC_AT_fre!B9</f>
        <v>8</v>
      </c>
      <c r="M75" s="28">
        <f>[121]PARS_cds_12_stat_loop_GC_AT_fre!B9</f>
        <v>3</v>
      </c>
      <c r="N75" s="28">
        <f>[122]PARS_cds_13_stat_loop_GC_AT_fre!B9</f>
        <v>6</v>
      </c>
      <c r="O75" s="28">
        <f>[123]PARS_cds_14_stat_loop_GC_AT_fre!B9</f>
        <v>2</v>
      </c>
      <c r="P75" s="28">
        <f>[124]PARS_cds_15_stat_loop_GC_AT_fre!B9</f>
        <v>4</v>
      </c>
    </row>
    <row r="76" spans="1:16" x14ac:dyDescent="0.15">
      <c r="A76" s="28" t="s">
        <v>59</v>
      </c>
      <c r="B76" s="28">
        <f>[110]PARS_cds_1_stat_loop_GC_AT_freq!B10</f>
        <v>40</v>
      </c>
      <c r="C76" s="28">
        <f>[111]PARS_cds_2_stat_loop_GC_AT_freq!B10</f>
        <v>21</v>
      </c>
      <c r="D76" s="28">
        <f>[112]PARS_cds_3_stat_loop_GC_AT_freq!B10</f>
        <v>24</v>
      </c>
      <c r="E76" s="28">
        <f>[113]PARS_cds_4_stat_loop_GC_AT_freq!B10</f>
        <v>30</v>
      </c>
      <c r="F76" s="28">
        <f>[114]PARS_cds_5_stat_loop_GC_AT_freq!B10</f>
        <v>22</v>
      </c>
      <c r="G76" s="28">
        <f>[115]PARS_cds_6_stat_loop_GC_AT_freq!B10</f>
        <v>29</v>
      </c>
      <c r="H76" s="28">
        <f>[116]PARS_cds_7_stat_loop_GC_AT_freq!B10</f>
        <v>11</v>
      </c>
      <c r="I76" s="28">
        <f>[117]PARS_cds_8_stat_loop_GC_AT_freq!B10</f>
        <v>16</v>
      </c>
      <c r="J76" s="28">
        <f>[118]PARS_cds_9_stat_loop_GC_AT_freq!B10</f>
        <v>16</v>
      </c>
      <c r="K76" s="28">
        <f>[119]PARS_cds_10_stat_loop_GC_AT_fre!B10</f>
        <v>11</v>
      </c>
      <c r="L76" s="28">
        <f>[120]PARS_cds_11_stat_loop_GC_AT_fre!B10</f>
        <v>6</v>
      </c>
      <c r="M76" s="28">
        <f>[121]PARS_cds_12_stat_loop_GC_AT_fre!B10</f>
        <v>5</v>
      </c>
      <c r="N76" s="28">
        <f>[122]PARS_cds_13_stat_loop_GC_AT_fre!B10</f>
        <v>4</v>
      </c>
      <c r="O76" s="28">
        <f>[123]PARS_cds_14_stat_loop_GC_AT_fre!B10</f>
        <v>2</v>
      </c>
      <c r="P76" s="28">
        <f>[124]PARS_cds_15_stat_loop_GC_AT_fre!B10</f>
        <v>2</v>
      </c>
    </row>
    <row r="77" spans="1:16" x14ac:dyDescent="0.15">
      <c r="A77" s="28" t="s">
        <v>60</v>
      </c>
      <c r="B77" s="28">
        <f>[110]PARS_cds_1_stat_loop_GC_AT_freq!B11</f>
        <v>69</v>
      </c>
      <c r="C77" s="28">
        <f>[111]PARS_cds_2_stat_loop_GC_AT_freq!B11</f>
        <v>65</v>
      </c>
      <c r="D77" s="28">
        <f>[112]PARS_cds_3_stat_loop_GC_AT_freq!B11</f>
        <v>59</v>
      </c>
      <c r="E77" s="28">
        <f>[113]PARS_cds_4_stat_loop_GC_AT_freq!B11</f>
        <v>58</v>
      </c>
      <c r="F77" s="28">
        <f>[114]PARS_cds_5_stat_loop_GC_AT_freq!B11</f>
        <v>63</v>
      </c>
      <c r="G77" s="28">
        <f>[115]PARS_cds_6_stat_loop_GC_AT_freq!B11</f>
        <v>59</v>
      </c>
      <c r="H77" s="28">
        <f>[116]PARS_cds_7_stat_loop_GC_AT_freq!B11</f>
        <v>29</v>
      </c>
      <c r="I77" s="28">
        <f>[117]PARS_cds_8_stat_loop_GC_AT_freq!B11</f>
        <v>44</v>
      </c>
      <c r="J77" s="28">
        <f>[118]PARS_cds_9_stat_loop_GC_AT_freq!B11</f>
        <v>16</v>
      </c>
      <c r="K77" s="28">
        <f>[119]PARS_cds_10_stat_loop_GC_AT_fre!B11</f>
        <v>27</v>
      </c>
      <c r="L77" s="28">
        <f>[120]PARS_cds_11_stat_loop_GC_AT_fre!B11</f>
        <v>24</v>
      </c>
      <c r="M77" s="28">
        <f>[121]PARS_cds_12_stat_loop_GC_AT_fre!B11</f>
        <v>11</v>
      </c>
      <c r="N77" s="28">
        <f>[122]PARS_cds_13_stat_loop_GC_AT_fre!B11</f>
        <v>17</v>
      </c>
      <c r="O77" s="28">
        <f>[123]PARS_cds_14_stat_loop_GC_AT_fre!B11</f>
        <v>12</v>
      </c>
      <c r="P77" s="28">
        <f>[124]PARS_cds_15_stat_loop_GC_AT_fre!B11</f>
        <v>8</v>
      </c>
    </row>
    <row r="78" spans="1:16" x14ac:dyDescent="0.15">
      <c r="A78" s="28" t="s">
        <v>61</v>
      </c>
      <c r="B78" s="28">
        <f t="shared" ref="B78:P78" si="3">SUM(B68:B77)</f>
        <v>768</v>
      </c>
      <c r="C78" s="28">
        <f t="shared" si="3"/>
        <v>814</v>
      </c>
      <c r="D78" s="28">
        <f t="shared" si="3"/>
        <v>640</v>
      </c>
      <c r="E78" s="28">
        <f t="shared" si="3"/>
        <v>852</v>
      </c>
      <c r="F78" s="28">
        <f t="shared" si="3"/>
        <v>671</v>
      </c>
      <c r="G78" s="28">
        <f t="shared" si="3"/>
        <v>633</v>
      </c>
      <c r="H78" s="28">
        <f t="shared" si="3"/>
        <v>420</v>
      </c>
      <c r="I78" s="28">
        <f t="shared" si="3"/>
        <v>423</v>
      </c>
      <c r="J78" s="28">
        <f t="shared" si="3"/>
        <v>295</v>
      </c>
      <c r="K78" s="28">
        <f t="shared" si="3"/>
        <v>225</v>
      </c>
      <c r="L78" s="28">
        <f t="shared" si="3"/>
        <v>206</v>
      </c>
      <c r="M78" s="28">
        <f t="shared" si="3"/>
        <v>157</v>
      </c>
      <c r="N78" s="28">
        <f t="shared" si="3"/>
        <v>157</v>
      </c>
      <c r="O78" s="28">
        <f t="shared" si="3"/>
        <v>117</v>
      </c>
      <c r="P78" s="28">
        <f t="shared" si="3"/>
        <v>113</v>
      </c>
    </row>
    <row r="81" spans="1:29" x14ac:dyDescent="0.15">
      <c r="A81" s="28" t="s">
        <v>23</v>
      </c>
      <c r="B81" s="28" t="s">
        <v>32</v>
      </c>
      <c r="C81" s="28" t="s">
        <v>32</v>
      </c>
      <c r="D81" s="28" t="s">
        <v>32</v>
      </c>
      <c r="E81" s="28" t="s">
        <v>32</v>
      </c>
      <c r="F81" s="28" t="s">
        <v>32</v>
      </c>
      <c r="G81" s="28" t="s">
        <v>32</v>
      </c>
      <c r="H81" s="28" t="s">
        <v>32</v>
      </c>
      <c r="I81" s="28" t="s">
        <v>32</v>
      </c>
      <c r="J81" s="28" t="s">
        <v>32</v>
      </c>
      <c r="K81" s="28" t="s">
        <v>32</v>
      </c>
      <c r="L81" s="28" t="s">
        <v>32</v>
      </c>
      <c r="M81" s="28" t="s">
        <v>32</v>
      </c>
      <c r="N81" s="28" t="s">
        <v>32</v>
      </c>
      <c r="O81" s="28" t="s">
        <v>32</v>
      </c>
      <c r="P81" s="28" t="s">
        <v>32</v>
      </c>
    </row>
    <row r="82" spans="1:29" x14ac:dyDescent="0.15">
      <c r="A82" s="28" t="s">
        <v>52</v>
      </c>
      <c r="B82" s="28">
        <f>B68/B$78</f>
        <v>0.59765625</v>
      </c>
      <c r="C82" s="28">
        <f t="shared" ref="C82:P82" si="4">C68/C$78</f>
        <v>0.58108108108108103</v>
      </c>
      <c r="D82" s="28">
        <f t="shared" si="4"/>
        <v>0.54374999999999996</v>
      </c>
      <c r="E82" s="28">
        <f t="shared" si="4"/>
        <v>0.57981220657276999</v>
      </c>
      <c r="F82" s="28">
        <f t="shared" si="4"/>
        <v>0.55588673621460505</v>
      </c>
      <c r="G82" s="28">
        <f t="shared" si="4"/>
        <v>0.53554502369668244</v>
      </c>
      <c r="H82" s="28">
        <f t="shared" si="4"/>
        <v>0.56666666666666665</v>
      </c>
      <c r="I82" s="28">
        <f t="shared" si="4"/>
        <v>0.56501182033096931</v>
      </c>
      <c r="J82" s="28">
        <f t="shared" si="4"/>
        <v>0.52542372881355937</v>
      </c>
      <c r="K82" s="28">
        <f t="shared" si="4"/>
        <v>0.52444444444444449</v>
      </c>
      <c r="L82" s="28">
        <f t="shared" si="4"/>
        <v>0.57281553398058249</v>
      </c>
      <c r="M82" s="28">
        <f t="shared" si="4"/>
        <v>0.54777070063694266</v>
      </c>
      <c r="N82" s="28">
        <f t="shared" si="4"/>
        <v>0.50318471337579618</v>
      </c>
      <c r="O82" s="28">
        <f t="shared" si="4"/>
        <v>0.62393162393162394</v>
      </c>
      <c r="P82" s="28">
        <f t="shared" si="4"/>
        <v>0.53097345132743368</v>
      </c>
      <c r="S82" s="57">
        <v>0.59765625</v>
      </c>
      <c r="T82" s="57">
        <v>7.9427083333333329E-2</v>
      </c>
      <c r="U82" s="57">
        <v>4.1666666666666664E-2</v>
      </c>
      <c r="V82" s="57">
        <v>4.5572916666666664E-2</v>
      </c>
      <c r="W82" s="57">
        <v>2.0833333333333332E-2</v>
      </c>
      <c r="X82" s="57">
        <v>2.6041666666666668E-2</v>
      </c>
      <c r="Y82" s="57">
        <v>2.4739583333333332E-2</v>
      </c>
      <c r="Z82" s="57">
        <v>2.2135416666666668E-2</v>
      </c>
      <c r="AA82" s="57">
        <v>5.2083333333333336E-2</v>
      </c>
      <c r="AB82" s="57">
        <v>8.984375E-2</v>
      </c>
      <c r="AC82" s="57">
        <f>2/25</f>
        <v>0.08</v>
      </c>
    </row>
    <row r="83" spans="1:29" x14ac:dyDescent="0.15">
      <c r="A83" s="28" t="s">
        <v>38</v>
      </c>
      <c r="B83" s="28">
        <f t="shared" ref="B83:P91" si="5">B69/B$78</f>
        <v>7.9427083333333329E-2</v>
      </c>
      <c r="C83" s="28">
        <f t="shared" si="5"/>
        <v>8.7223587223587223E-2</v>
      </c>
      <c r="D83" s="28">
        <f t="shared" si="5"/>
        <v>8.9062500000000003E-2</v>
      </c>
      <c r="E83" s="28">
        <f t="shared" si="5"/>
        <v>7.8638497652582157E-2</v>
      </c>
      <c r="F83" s="28">
        <f t="shared" si="5"/>
        <v>7.7496274217585689E-2</v>
      </c>
      <c r="G83" s="28">
        <f t="shared" si="5"/>
        <v>0.10110584518167456</v>
      </c>
      <c r="H83" s="28">
        <f t="shared" si="5"/>
        <v>7.1428571428571425E-2</v>
      </c>
      <c r="I83" s="28">
        <f t="shared" si="5"/>
        <v>9.2198581560283682E-2</v>
      </c>
      <c r="J83" s="28">
        <f t="shared" si="5"/>
        <v>0.10847457627118644</v>
      </c>
      <c r="K83" s="28">
        <f t="shared" si="5"/>
        <v>0.08</v>
      </c>
      <c r="L83" s="28">
        <f t="shared" si="5"/>
        <v>0.10194174757281553</v>
      </c>
      <c r="M83" s="28">
        <f t="shared" si="5"/>
        <v>9.5541401273885357E-2</v>
      </c>
      <c r="N83" s="28">
        <f t="shared" si="5"/>
        <v>9.5541401273885357E-2</v>
      </c>
      <c r="O83" s="28">
        <f t="shared" si="5"/>
        <v>3.4188034188034191E-2</v>
      </c>
      <c r="P83" s="28">
        <f>P69/P$78</f>
        <v>9.7345132743362831E-2</v>
      </c>
      <c r="S83" s="57">
        <v>0.58108108108108103</v>
      </c>
      <c r="T83" s="57">
        <v>8.7223587223587223E-2</v>
      </c>
      <c r="U83" s="57">
        <v>7.125307125307126E-2</v>
      </c>
      <c r="V83" s="57">
        <v>3.8083538083538086E-2</v>
      </c>
      <c r="W83" s="57">
        <v>3.0712530712530713E-2</v>
      </c>
      <c r="X83" s="57">
        <v>3.6855036855036855E-2</v>
      </c>
      <c r="Y83" s="57">
        <v>2.2113022113022112E-2</v>
      </c>
      <c r="Z83" s="57">
        <v>2.7027027027027029E-2</v>
      </c>
      <c r="AA83" s="57">
        <v>2.5798525798525797E-2</v>
      </c>
      <c r="AB83" s="57">
        <v>7.9852579852579847E-2</v>
      </c>
      <c r="AC83" s="57">
        <f>6/25</f>
        <v>0.24</v>
      </c>
    </row>
    <row r="84" spans="1:29" x14ac:dyDescent="0.15">
      <c r="A84" s="28" t="s">
        <v>53</v>
      </c>
      <c r="B84" s="28">
        <f t="shared" si="5"/>
        <v>4.1666666666666664E-2</v>
      </c>
      <c r="C84" s="28">
        <f t="shared" si="5"/>
        <v>7.125307125307126E-2</v>
      </c>
      <c r="D84" s="28">
        <f t="shared" si="5"/>
        <v>5.3124999999999999E-2</v>
      </c>
      <c r="E84" s="28">
        <f t="shared" si="5"/>
        <v>5.1643192488262914E-2</v>
      </c>
      <c r="F84" s="28">
        <f t="shared" si="5"/>
        <v>4.7690014903129657E-2</v>
      </c>
      <c r="G84" s="28">
        <f t="shared" si="5"/>
        <v>4.8973143759873619E-2</v>
      </c>
      <c r="H84" s="28">
        <f t="shared" si="5"/>
        <v>3.8095238095238099E-2</v>
      </c>
      <c r="I84" s="28">
        <f t="shared" si="5"/>
        <v>3.5460992907801421E-2</v>
      </c>
      <c r="J84" s="28">
        <f t="shared" si="5"/>
        <v>4.4067796610169491E-2</v>
      </c>
      <c r="K84" s="28">
        <f t="shared" si="5"/>
        <v>5.3333333333333337E-2</v>
      </c>
      <c r="L84" s="28">
        <f t="shared" si="5"/>
        <v>2.9126213592233011E-2</v>
      </c>
      <c r="M84" s="28">
        <f t="shared" si="5"/>
        <v>5.0955414012738856E-2</v>
      </c>
      <c r="N84" s="28">
        <f t="shared" si="5"/>
        <v>6.3694267515923567E-2</v>
      </c>
      <c r="O84" s="28">
        <f t="shared" si="5"/>
        <v>5.128205128205128E-2</v>
      </c>
      <c r="P84" s="28">
        <f t="shared" si="5"/>
        <v>7.0796460176991149E-2</v>
      </c>
      <c r="S84" s="57">
        <v>0.54374999999999996</v>
      </c>
      <c r="T84" s="57">
        <v>8.9062500000000003E-2</v>
      </c>
      <c r="U84" s="57">
        <v>5.3124999999999999E-2</v>
      </c>
      <c r="V84" s="57">
        <v>4.6875E-2</v>
      </c>
      <c r="W84" s="57">
        <v>2.9687499999999999E-2</v>
      </c>
      <c r="X84" s="57">
        <v>2.5000000000000001E-2</v>
      </c>
      <c r="Y84" s="57">
        <v>3.7499999999999999E-2</v>
      </c>
      <c r="Z84" s="57">
        <v>4.5312499999999999E-2</v>
      </c>
      <c r="AA84" s="57">
        <v>3.7499999999999999E-2</v>
      </c>
      <c r="AB84" s="57">
        <v>9.2187500000000006E-2</v>
      </c>
      <c r="AC84" s="57">
        <f>87/100</f>
        <v>0.87</v>
      </c>
    </row>
    <row r="85" spans="1:29" x14ac:dyDescent="0.15">
      <c r="A85" s="28" t="s">
        <v>54</v>
      </c>
      <c r="B85" s="28">
        <f t="shared" si="5"/>
        <v>4.5572916666666664E-2</v>
      </c>
      <c r="C85" s="28">
        <f t="shared" si="5"/>
        <v>3.8083538083538086E-2</v>
      </c>
      <c r="D85" s="28">
        <f t="shared" si="5"/>
        <v>4.6875E-2</v>
      </c>
      <c r="E85" s="28">
        <f t="shared" si="5"/>
        <v>3.0516431924882629E-2</v>
      </c>
      <c r="F85" s="28">
        <f t="shared" si="5"/>
        <v>3.4277198211624442E-2</v>
      </c>
      <c r="G85" s="28">
        <f t="shared" si="5"/>
        <v>3.6334913112164295E-2</v>
      </c>
      <c r="H85" s="28">
        <f t="shared" si="5"/>
        <v>3.5714285714285712E-2</v>
      </c>
      <c r="I85" s="28">
        <f t="shared" si="5"/>
        <v>3.7825059101654845E-2</v>
      </c>
      <c r="J85" s="28">
        <f t="shared" si="5"/>
        <v>4.7457627118644069E-2</v>
      </c>
      <c r="K85" s="28">
        <f t="shared" si="5"/>
        <v>0.04</v>
      </c>
      <c r="L85" s="28">
        <f t="shared" si="5"/>
        <v>2.4271844660194174E-2</v>
      </c>
      <c r="M85" s="28">
        <f t="shared" si="5"/>
        <v>5.7324840764331211E-2</v>
      </c>
      <c r="N85" s="28">
        <f t="shared" si="5"/>
        <v>5.0955414012738856E-2</v>
      </c>
      <c r="O85" s="28">
        <f t="shared" si="5"/>
        <v>3.4188034188034191E-2</v>
      </c>
      <c r="P85" s="28">
        <f t="shared" si="5"/>
        <v>8.8495575221238937E-2</v>
      </c>
      <c r="S85" s="57">
        <v>0.57981220657276999</v>
      </c>
      <c r="T85" s="57">
        <v>7.8638497652582157E-2</v>
      </c>
      <c r="U85" s="57">
        <v>5.1643192488262914E-2</v>
      </c>
      <c r="V85" s="57">
        <v>3.0516431924882629E-2</v>
      </c>
      <c r="W85" s="57">
        <v>4.2253521126760563E-2</v>
      </c>
      <c r="X85" s="57">
        <v>4.5774647887323945E-2</v>
      </c>
      <c r="Y85" s="57">
        <v>3.6384976525821594E-2</v>
      </c>
      <c r="Z85" s="57">
        <v>3.1690140845070422E-2</v>
      </c>
      <c r="AA85" s="57">
        <v>3.5211267605633804E-2</v>
      </c>
      <c r="AB85" s="57">
        <v>6.8075117370892016E-2</v>
      </c>
      <c r="AC85" s="57">
        <f>31/100</f>
        <v>0.31</v>
      </c>
    </row>
    <row r="86" spans="1:29" x14ac:dyDescent="0.15">
      <c r="A86" s="28" t="s">
        <v>55</v>
      </c>
      <c r="B86" s="28">
        <f t="shared" si="5"/>
        <v>2.0833333333333332E-2</v>
      </c>
      <c r="C86" s="28">
        <f t="shared" si="5"/>
        <v>3.0712530712530713E-2</v>
      </c>
      <c r="D86" s="28">
        <f t="shared" si="5"/>
        <v>2.9687499999999999E-2</v>
      </c>
      <c r="E86" s="28">
        <f t="shared" si="5"/>
        <v>4.2253521126760563E-2</v>
      </c>
      <c r="F86" s="28">
        <f t="shared" si="5"/>
        <v>4.4709388971684055E-2</v>
      </c>
      <c r="G86" s="28">
        <f t="shared" si="5"/>
        <v>4.7393364928909949E-2</v>
      </c>
      <c r="H86" s="28">
        <f t="shared" si="5"/>
        <v>5.4761904761904762E-2</v>
      </c>
      <c r="I86" s="28">
        <f t="shared" si="5"/>
        <v>2.6004728132387706E-2</v>
      </c>
      <c r="J86" s="28">
        <f t="shared" si="5"/>
        <v>3.7288135593220341E-2</v>
      </c>
      <c r="K86" s="28">
        <f t="shared" si="5"/>
        <v>1.3333333333333334E-2</v>
      </c>
      <c r="L86" s="28">
        <f t="shared" si="5"/>
        <v>4.3689320388349516E-2</v>
      </c>
      <c r="M86" s="28">
        <f t="shared" si="5"/>
        <v>4.4585987261146494E-2</v>
      </c>
      <c r="N86" s="28">
        <f t="shared" si="5"/>
        <v>6.3694267515923567E-2</v>
      </c>
      <c r="O86" s="28">
        <f t="shared" si="5"/>
        <v>5.128205128205128E-2</v>
      </c>
      <c r="P86" s="28">
        <f t="shared" si="5"/>
        <v>2.6548672566371681E-2</v>
      </c>
      <c r="S86" s="57">
        <v>0.55588673621460505</v>
      </c>
      <c r="T86" s="57">
        <v>7.7496274217585689E-2</v>
      </c>
      <c r="U86" s="57">
        <v>4.7690014903129657E-2</v>
      </c>
      <c r="V86" s="57">
        <v>3.4277198211624442E-2</v>
      </c>
      <c r="W86" s="57">
        <v>4.4709388971684055E-2</v>
      </c>
      <c r="X86" s="57">
        <v>4.7690014903129657E-2</v>
      </c>
      <c r="Y86" s="57">
        <v>2.9806259314456036E-2</v>
      </c>
      <c r="Z86" s="57">
        <v>3.5767511177347243E-2</v>
      </c>
      <c r="AA86" s="57">
        <v>3.2786885245901641E-2</v>
      </c>
      <c r="AB86" s="57">
        <v>9.3889716840536513E-2</v>
      </c>
      <c r="AC86" s="57">
        <f>17/25</f>
        <v>0.68</v>
      </c>
    </row>
    <row r="87" spans="1:29" x14ac:dyDescent="0.15">
      <c r="A87" s="28" t="s">
        <v>56</v>
      </c>
      <c r="B87" s="28">
        <f t="shared" si="5"/>
        <v>2.6041666666666668E-2</v>
      </c>
      <c r="C87" s="28">
        <f t="shared" si="5"/>
        <v>3.6855036855036855E-2</v>
      </c>
      <c r="D87" s="28">
        <f t="shared" si="5"/>
        <v>2.5000000000000001E-2</v>
      </c>
      <c r="E87" s="28">
        <f t="shared" si="5"/>
        <v>4.5774647887323945E-2</v>
      </c>
      <c r="F87" s="28">
        <f t="shared" si="5"/>
        <v>4.7690014903129657E-2</v>
      </c>
      <c r="G87" s="28">
        <f t="shared" si="5"/>
        <v>3.3175355450236969E-2</v>
      </c>
      <c r="H87" s="28">
        <f t="shared" si="5"/>
        <v>5.2380952380952382E-2</v>
      </c>
      <c r="I87" s="28">
        <f t="shared" si="5"/>
        <v>3.0732860520094562E-2</v>
      </c>
      <c r="J87" s="28">
        <f t="shared" si="5"/>
        <v>4.4067796610169491E-2</v>
      </c>
      <c r="K87" s="28">
        <f t="shared" si="5"/>
        <v>5.7777777777777775E-2</v>
      </c>
      <c r="L87" s="28">
        <f t="shared" si="5"/>
        <v>1.9417475728155338E-2</v>
      </c>
      <c r="M87" s="28">
        <f t="shared" si="5"/>
        <v>5.0955414012738856E-2</v>
      </c>
      <c r="N87" s="28">
        <f t="shared" si="5"/>
        <v>1.2738853503184714E-2</v>
      </c>
      <c r="O87" s="28">
        <f t="shared" si="5"/>
        <v>2.564102564102564E-2</v>
      </c>
      <c r="P87" s="28">
        <f t="shared" si="5"/>
        <v>4.4247787610619468E-2</v>
      </c>
      <c r="S87" s="57">
        <v>0.53554502369668244</v>
      </c>
      <c r="T87" s="57">
        <v>0.10110584518167456</v>
      </c>
      <c r="U87" s="57">
        <v>4.8973143759873619E-2</v>
      </c>
      <c r="V87" s="57">
        <v>3.6334913112164295E-2</v>
      </c>
      <c r="W87" s="57">
        <v>4.7393364928909949E-2</v>
      </c>
      <c r="X87" s="57">
        <v>3.3175355450236969E-2</v>
      </c>
      <c r="Y87" s="57">
        <v>1.579778830963665E-2</v>
      </c>
      <c r="Z87" s="57">
        <v>4.2654028436018961E-2</v>
      </c>
      <c r="AA87" s="57">
        <v>4.5813586097946286E-2</v>
      </c>
      <c r="AB87" s="57">
        <v>9.3206951026856236E-2</v>
      </c>
      <c r="AC87" s="57">
        <f>49/50</f>
        <v>0.98</v>
      </c>
    </row>
    <row r="88" spans="1:29" x14ac:dyDescent="0.15">
      <c r="A88" s="28" t="s">
        <v>57</v>
      </c>
      <c r="B88" s="28">
        <f t="shared" si="5"/>
        <v>2.4739583333333332E-2</v>
      </c>
      <c r="C88" s="28">
        <f t="shared" si="5"/>
        <v>2.2113022113022112E-2</v>
      </c>
      <c r="D88" s="28">
        <f t="shared" si="5"/>
        <v>3.7499999999999999E-2</v>
      </c>
      <c r="E88" s="28">
        <f t="shared" si="5"/>
        <v>3.6384976525821594E-2</v>
      </c>
      <c r="F88" s="28">
        <f t="shared" si="5"/>
        <v>2.9806259314456036E-2</v>
      </c>
      <c r="G88" s="28">
        <f t="shared" si="5"/>
        <v>1.579778830963665E-2</v>
      </c>
      <c r="H88" s="28">
        <f t="shared" si="5"/>
        <v>4.0476190476190478E-2</v>
      </c>
      <c r="I88" s="28">
        <f t="shared" si="5"/>
        <v>3.309692671394799E-2</v>
      </c>
      <c r="J88" s="28">
        <f t="shared" si="5"/>
        <v>3.7288135593220341E-2</v>
      </c>
      <c r="K88" s="28">
        <f t="shared" si="5"/>
        <v>3.111111111111111E-2</v>
      </c>
      <c r="L88" s="28">
        <f t="shared" si="5"/>
        <v>2.4271844660194174E-2</v>
      </c>
      <c r="M88" s="28">
        <f t="shared" si="5"/>
        <v>3.1847133757961783E-2</v>
      </c>
      <c r="N88" s="28">
        <f t="shared" si="5"/>
        <v>3.8216560509554139E-2</v>
      </c>
      <c r="O88" s="28">
        <f t="shared" si="5"/>
        <v>4.2735042735042736E-2</v>
      </c>
      <c r="P88" s="28">
        <f t="shared" si="5"/>
        <v>1.7699115044247787E-2</v>
      </c>
      <c r="S88" s="57">
        <v>0.56666666666666665</v>
      </c>
      <c r="T88" s="57">
        <v>7.1428571428571425E-2</v>
      </c>
      <c r="U88" s="57">
        <v>3.8095238095238099E-2</v>
      </c>
      <c r="V88" s="57">
        <v>3.5714285714285712E-2</v>
      </c>
      <c r="W88" s="57">
        <v>5.4761904761904762E-2</v>
      </c>
      <c r="X88" s="57">
        <v>5.2380952380952382E-2</v>
      </c>
      <c r="Y88" s="57">
        <v>4.0476190476190478E-2</v>
      </c>
      <c r="Z88" s="57">
        <v>4.5238095238095237E-2</v>
      </c>
      <c r="AA88" s="57">
        <v>2.6190476190476191E-2</v>
      </c>
      <c r="AB88" s="57">
        <v>6.9047619047619052E-2</v>
      </c>
      <c r="AC88" s="57">
        <f>53/100</f>
        <v>0.53</v>
      </c>
    </row>
    <row r="89" spans="1:29" x14ac:dyDescent="0.15">
      <c r="A89" s="28" t="s">
        <v>58</v>
      </c>
      <c r="B89" s="28">
        <f t="shared" si="5"/>
        <v>2.2135416666666668E-2</v>
      </c>
      <c r="C89" s="28">
        <f t="shared" si="5"/>
        <v>2.7027027027027029E-2</v>
      </c>
      <c r="D89" s="28">
        <f t="shared" si="5"/>
        <v>4.5312499999999999E-2</v>
      </c>
      <c r="E89" s="28">
        <f t="shared" si="5"/>
        <v>3.1690140845070422E-2</v>
      </c>
      <c r="F89" s="28">
        <f t="shared" si="5"/>
        <v>3.5767511177347243E-2</v>
      </c>
      <c r="G89" s="28">
        <f t="shared" si="5"/>
        <v>4.2654028436018961E-2</v>
      </c>
      <c r="H89" s="28">
        <f t="shared" si="5"/>
        <v>4.5238095238095237E-2</v>
      </c>
      <c r="I89" s="28">
        <f t="shared" si="5"/>
        <v>3.7825059101654845E-2</v>
      </c>
      <c r="J89" s="28">
        <f t="shared" si="5"/>
        <v>4.7457627118644069E-2</v>
      </c>
      <c r="K89" s="28">
        <f t="shared" si="5"/>
        <v>3.111111111111111E-2</v>
      </c>
      <c r="L89" s="28">
        <f t="shared" si="5"/>
        <v>3.8834951456310676E-2</v>
      </c>
      <c r="M89" s="28">
        <f t="shared" si="5"/>
        <v>1.9108280254777069E-2</v>
      </c>
      <c r="N89" s="28">
        <f t="shared" si="5"/>
        <v>3.8216560509554139E-2</v>
      </c>
      <c r="O89" s="28">
        <f t="shared" si="5"/>
        <v>1.7094017094017096E-2</v>
      </c>
      <c r="P89" s="28">
        <f t="shared" si="5"/>
        <v>3.5398230088495575E-2</v>
      </c>
      <c r="S89" s="57">
        <v>0.56501182033096931</v>
      </c>
      <c r="T89" s="57">
        <v>9.2198581560283682E-2</v>
      </c>
      <c r="U89" s="57">
        <v>3.5460992907801421E-2</v>
      </c>
      <c r="V89" s="57">
        <v>3.7825059101654845E-2</v>
      </c>
      <c r="W89" s="57">
        <v>2.6004728132387706E-2</v>
      </c>
      <c r="X89" s="57">
        <v>3.0732860520094562E-2</v>
      </c>
      <c r="Y89" s="57">
        <v>3.309692671394799E-2</v>
      </c>
      <c r="Z89" s="57">
        <v>3.7825059101654845E-2</v>
      </c>
      <c r="AA89" s="57">
        <v>3.7825059101654845E-2</v>
      </c>
      <c r="AB89" s="57">
        <v>0.10401891252955082</v>
      </c>
      <c r="AC89" s="57">
        <f>11/20</f>
        <v>0.55000000000000004</v>
      </c>
    </row>
    <row r="90" spans="1:29" x14ac:dyDescent="0.15">
      <c r="A90" s="28" t="s">
        <v>59</v>
      </c>
      <c r="B90" s="28">
        <f t="shared" si="5"/>
        <v>5.2083333333333336E-2</v>
      </c>
      <c r="C90" s="28">
        <f t="shared" si="5"/>
        <v>2.5798525798525797E-2</v>
      </c>
      <c r="D90" s="28">
        <f t="shared" si="5"/>
        <v>3.7499999999999999E-2</v>
      </c>
      <c r="E90" s="28">
        <f t="shared" si="5"/>
        <v>3.5211267605633804E-2</v>
      </c>
      <c r="F90" s="28">
        <f t="shared" si="5"/>
        <v>3.2786885245901641E-2</v>
      </c>
      <c r="G90" s="28">
        <f t="shared" si="5"/>
        <v>4.5813586097946286E-2</v>
      </c>
      <c r="H90" s="28">
        <f t="shared" si="5"/>
        <v>2.6190476190476191E-2</v>
      </c>
      <c r="I90" s="28">
        <f t="shared" si="5"/>
        <v>3.7825059101654845E-2</v>
      </c>
      <c r="J90" s="28">
        <f t="shared" si="5"/>
        <v>5.4237288135593219E-2</v>
      </c>
      <c r="K90" s="28">
        <f t="shared" si="5"/>
        <v>4.8888888888888891E-2</v>
      </c>
      <c r="L90" s="28">
        <f t="shared" si="5"/>
        <v>2.9126213592233011E-2</v>
      </c>
      <c r="M90" s="28">
        <f t="shared" si="5"/>
        <v>3.1847133757961783E-2</v>
      </c>
      <c r="N90" s="28">
        <f t="shared" si="5"/>
        <v>2.5477707006369428E-2</v>
      </c>
      <c r="O90" s="28">
        <f t="shared" si="5"/>
        <v>1.7094017094017096E-2</v>
      </c>
      <c r="P90" s="28">
        <f t="shared" si="5"/>
        <v>1.7699115044247787E-2</v>
      </c>
      <c r="S90" s="57">
        <v>0.52542372881355937</v>
      </c>
      <c r="T90" s="57">
        <v>0.10847457627118644</v>
      </c>
      <c r="U90" s="57">
        <v>4.4067796610169491E-2</v>
      </c>
      <c r="V90" s="57">
        <v>4.7457627118644069E-2</v>
      </c>
      <c r="W90" s="57">
        <v>3.7288135593220341E-2</v>
      </c>
      <c r="X90" s="57">
        <v>4.4067796610169491E-2</v>
      </c>
      <c r="Y90" s="57">
        <v>3.7288135593220341E-2</v>
      </c>
      <c r="Z90" s="57">
        <v>4.7457627118644069E-2</v>
      </c>
      <c r="AA90" s="57">
        <v>5.4237288135593219E-2</v>
      </c>
      <c r="AB90" s="57">
        <v>5.4237288135593219E-2</v>
      </c>
      <c r="AC90" s="57">
        <f>53/50</f>
        <v>1.06</v>
      </c>
    </row>
    <row r="91" spans="1:29" x14ac:dyDescent="0.15">
      <c r="A91" s="28" t="s">
        <v>60</v>
      </c>
      <c r="B91" s="28">
        <f t="shared" si="5"/>
        <v>8.984375E-2</v>
      </c>
      <c r="C91" s="28">
        <f t="shared" si="5"/>
        <v>7.9852579852579847E-2</v>
      </c>
      <c r="D91" s="28">
        <f t="shared" si="5"/>
        <v>9.2187500000000006E-2</v>
      </c>
      <c r="E91" s="28">
        <f t="shared" si="5"/>
        <v>6.8075117370892016E-2</v>
      </c>
      <c r="F91" s="28">
        <f t="shared" si="5"/>
        <v>9.3889716840536513E-2</v>
      </c>
      <c r="G91" s="28">
        <f t="shared" si="5"/>
        <v>9.3206951026856236E-2</v>
      </c>
      <c r="H91" s="28">
        <f t="shared" si="5"/>
        <v>6.9047619047619052E-2</v>
      </c>
      <c r="I91" s="28">
        <f t="shared" si="5"/>
        <v>0.10401891252955082</v>
      </c>
      <c r="J91" s="28">
        <f t="shared" si="5"/>
        <v>5.4237288135593219E-2</v>
      </c>
      <c r="K91" s="28">
        <f t="shared" si="5"/>
        <v>0.12</v>
      </c>
      <c r="L91" s="28">
        <f t="shared" si="5"/>
        <v>0.11650485436893204</v>
      </c>
      <c r="M91" s="28">
        <f t="shared" si="5"/>
        <v>7.0063694267515922E-2</v>
      </c>
      <c r="N91" s="28">
        <f t="shared" si="5"/>
        <v>0.10828025477707007</v>
      </c>
      <c r="O91" s="28">
        <f t="shared" si="5"/>
        <v>0.10256410256410256</v>
      </c>
      <c r="P91" s="28">
        <f t="shared" si="5"/>
        <v>7.0796460176991149E-2</v>
      </c>
      <c r="S91" s="57">
        <v>0.52444444444444449</v>
      </c>
      <c r="T91" s="57">
        <v>0.08</v>
      </c>
      <c r="U91" s="57">
        <v>5.3333333333333337E-2</v>
      </c>
      <c r="V91" s="57">
        <v>0.04</v>
      </c>
      <c r="W91" s="57">
        <v>1.3333333333333334E-2</v>
      </c>
      <c r="X91" s="57">
        <v>5.7777777777777775E-2</v>
      </c>
      <c r="Y91" s="57">
        <v>3.111111111111111E-2</v>
      </c>
      <c r="Z91" s="57">
        <v>3.111111111111111E-2</v>
      </c>
      <c r="AA91" s="57">
        <v>4.8888888888888891E-2</v>
      </c>
      <c r="AB91" s="57">
        <v>0.12</v>
      </c>
      <c r="AC91" s="57">
        <f>143/100</f>
        <v>1.43</v>
      </c>
    </row>
    <row r="92" spans="1:29" x14ac:dyDescent="0.15">
      <c r="A92" s="28" t="s">
        <v>78</v>
      </c>
      <c r="B92" s="57">
        <f>$AC82</f>
        <v>0.08</v>
      </c>
      <c r="C92" s="57">
        <f>$AC83</f>
        <v>0.24</v>
      </c>
      <c r="D92" s="57">
        <f>$AC84</f>
        <v>0.87</v>
      </c>
      <c r="E92" s="57">
        <f>$AC85</f>
        <v>0.31</v>
      </c>
      <c r="F92" s="57">
        <f>$AC86</f>
        <v>0.68</v>
      </c>
      <c r="G92" s="57">
        <f>$AC87</f>
        <v>0.98</v>
      </c>
      <c r="H92" s="57">
        <f>$AC88</f>
        <v>0.53</v>
      </c>
      <c r="I92" s="57">
        <f>$AC89</f>
        <v>0.55000000000000004</v>
      </c>
      <c r="J92" s="57">
        <f>$AC90</f>
        <v>1.06</v>
      </c>
      <c r="K92" s="57">
        <f>$AC91</f>
        <v>1.43</v>
      </c>
      <c r="L92" s="57">
        <f>$AC92</f>
        <v>0.42</v>
      </c>
      <c r="M92" s="57">
        <f>$AC93</f>
        <v>0.68</v>
      </c>
      <c r="N92" s="57">
        <f>$AC94</f>
        <v>1.6</v>
      </c>
      <c r="O92" s="57">
        <f>$AC95</f>
        <v>-0.19</v>
      </c>
      <c r="P92" s="57">
        <f>$AC96</f>
        <v>0.87</v>
      </c>
      <c r="S92" s="57">
        <v>0.57281553398058249</v>
      </c>
      <c r="T92" s="57">
        <v>0.10194174757281553</v>
      </c>
      <c r="U92" s="57">
        <v>2.9126213592233011E-2</v>
      </c>
      <c r="V92" s="57">
        <v>2.4271844660194174E-2</v>
      </c>
      <c r="W92" s="57">
        <v>4.3689320388349516E-2</v>
      </c>
      <c r="X92" s="57">
        <v>1.9417475728155338E-2</v>
      </c>
      <c r="Y92" s="57">
        <v>2.4271844660194174E-2</v>
      </c>
      <c r="Z92" s="57">
        <v>3.8834951456310676E-2</v>
      </c>
      <c r="AA92" s="57">
        <v>2.9126213592233011E-2</v>
      </c>
      <c r="AB92" s="57">
        <v>0.11650485436893204</v>
      </c>
      <c r="AC92" s="57">
        <f>21/50</f>
        <v>0.42</v>
      </c>
    </row>
    <row r="93" spans="1:29" x14ac:dyDescent="0.15">
      <c r="S93" s="57">
        <v>0.54777070063694266</v>
      </c>
      <c r="T93" s="57">
        <v>9.5541401273885357E-2</v>
      </c>
      <c r="U93" s="57">
        <v>5.0955414012738856E-2</v>
      </c>
      <c r="V93" s="57">
        <v>5.7324840764331211E-2</v>
      </c>
      <c r="W93" s="57">
        <v>4.4585987261146494E-2</v>
      </c>
      <c r="X93" s="57">
        <v>5.0955414012738856E-2</v>
      </c>
      <c r="Y93" s="57">
        <v>3.1847133757961783E-2</v>
      </c>
      <c r="Z93" s="57">
        <v>1.9108280254777069E-2</v>
      </c>
      <c r="AA93" s="57">
        <v>3.1847133757961783E-2</v>
      </c>
      <c r="AB93" s="57">
        <v>7.0063694267515922E-2</v>
      </c>
      <c r="AC93" s="57">
        <f>17/25</f>
        <v>0.68</v>
      </c>
    </row>
    <row r="94" spans="1:29" x14ac:dyDescent="0.15">
      <c r="S94" s="57">
        <v>0.50318471337579618</v>
      </c>
      <c r="T94" s="57">
        <v>9.5541401273885357E-2</v>
      </c>
      <c r="U94" s="57">
        <v>6.3694267515923567E-2</v>
      </c>
      <c r="V94" s="57">
        <v>5.0955414012738856E-2</v>
      </c>
      <c r="W94" s="57">
        <v>6.3694267515923567E-2</v>
      </c>
      <c r="X94" s="57">
        <v>1.2738853503184714E-2</v>
      </c>
      <c r="Y94" s="57">
        <v>3.8216560509554139E-2</v>
      </c>
      <c r="Z94" s="57">
        <v>3.8216560509554139E-2</v>
      </c>
      <c r="AA94" s="57">
        <v>2.5477707006369428E-2</v>
      </c>
      <c r="AB94" s="57">
        <v>0.10828025477707007</v>
      </c>
      <c r="AC94" s="57">
        <f>8/5</f>
        <v>1.6</v>
      </c>
    </row>
    <row r="95" spans="1:29" x14ac:dyDescent="0.15">
      <c r="S95" s="57">
        <v>0.62393162393162394</v>
      </c>
      <c r="T95" s="57">
        <v>3.4188034188034191E-2</v>
      </c>
      <c r="U95" s="57">
        <v>5.128205128205128E-2</v>
      </c>
      <c r="V95" s="57">
        <v>3.4188034188034191E-2</v>
      </c>
      <c r="W95" s="57">
        <v>5.128205128205128E-2</v>
      </c>
      <c r="X95" s="57">
        <v>2.564102564102564E-2</v>
      </c>
      <c r="Y95" s="57">
        <v>4.2735042735042736E-2</v>
      </c>
      <c r="Z95" s="57">
        <v>1.7094017094017096E-2</v>
      </c>
      <c r="AA95" s="57">
        <v>1.7094017094017096E-2</v>
      </c>
      <c r="AB95" s="57">
        <v>0.10256410256410256</v>
      </c>
      <c r="AC95" s="57">
        <f>-19/100</f>
        <v>-0.19</v>
      </c>
    </row>
    <row r="96" spans="1:29" x14ac:dyDescent="0.15">
      <c r="S96" s="57">
        <v>0.53097345132743368</v>
      </c>
      <c r="T96" s="57">
        <v>9.7345132743362831E-2</v>
      </c>
      <c r="U96" s="57">
        <v>7.0796460176991149E-2</v>
      </c>
      <c r="V96" s="57">
        <v>8.8495575221238937E-2</v>
      </c>
      <c r="W96" s="57">
        <v>2.6548672566371681E-2</v>
      </c>
      <c r="X96" s="57">
        <v>4.4247787610619468E-2</v>
      </c>
      <c r="Y96" s="57">
        <v>1.7699115044247787E-2</v>
      </c>
      <c r="Z96" s="57">
        <v>3.5398230088495575E-2</v>
      </c>
      <c r="AA96" s="57">
        <v>1.7699115044247787E-2</v>
      </c>
      <c r="AB96" s="57">
        <v>7.0796460176991149E-2</v>
      </c>
      <c r="AC96" s="57">
        <f>87/100</f>
        <v>0.87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freq_10</vt:lpstr>
      <vt:lpstr>pic_freq_10</vt:lpstr>
      <vt:lpstr>freq_each-syn</vt:lpstr>
      <vt:lpstr>freq_each-cds</vt:lpstr>
      <vt:lpstr>freq_each-utr</vt:lpstr>
      <vt:lpstr>freq_each-nsy</vt:lpstr>
      <vt:lpstr>freq_10-cds_stem_length_10</vt:lpstr>
      <vt:lpstr>freq_10-cds_loop_length_10</vt:lpstr>
      <vt:lpstr>freq_10-cds_GO</vt:lpstr>
      <vt:lpstr>freq_10-cds_KEGG</vt:lpstr>
      <vt:lpstr>TCA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2018-03-21T01:37:41Z</dcterms:created>
  <dcterms:modified xsi:type="dcterms:W3CDTF">2018-09-28T16:44:48Z</dcterms:modified>
</cp:coreProperties>
</file>